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325" yWindow="405" windowWidth="6105" windowHeight="7725" tabRatio="699"/>
  </bookViews>
  <sheets>
    <sheet name="Group Stage" sheetId="43" r:id="rId1"/>
    <sheet name="Knockout Stage" sheetId="47" r:id="rId2"/>
    <sheet name="Group Standings " sheetId="45" r:id="rId3"/>
  </sheets>
  <calcPr calcId="144525"/>
</workbook>
</file>

<file path=xl/calcChain.xml><?xml version="1.0" encoding="utf-8"?>
<calcChain xmlns="http://schemas.openxmlformats.org/spreadsheetml/2006/main">
  <c r="F57" i="47" l="1"/>
  <c r="F12" i="47" s="1"/>
  <c r="I55" i="45" l="1"/>
  <c r="I56" i="45"/>
  <c r="I57" i="45"/>
  <c r="I58" i="45"/>
  <c r="I48" i="45"/>
  <c r="I49" i="45"/>
  <c r="I50" i="45"/>
  <c r="I51" i="45"/>
  <c r="I41" i="45"/>
  <c r="I42" i="45"/>
  <c r="I43" i="45"/>
  <c r="I44" i="45"/>
  <c r="I34" i="45"/>
  <c r="I35" i="45"/>
  <c r="I36" i="45"/>
  <c r="I37" i="45"/>
  <c r="I27" i="45"/>
  <c r="I28" i="45"/>
  <c r="I29" i="45"/>
  <c r="I30" i="45"/>
  <c r="I20" i="45"/>
  <c r="I21" i="45"/>
  <c r="I22" i="45"/>
  <c r="I23" i="45"/>
  <c r="I13" i="45"/>
  <c r="I14" i="45"/>
  <c r="I15" i="45"/>
  <c r="I16" i="45"/>
  <c r="I6" i="45"/>
  <c r="I7" i="45"/>
  <c r="I8" i="45"/>
  <c r="I9" i="45"/>
  <c r="H55" i="45"/>
  <c r="J55" i="45" s="1"/>
  <c r="H56" i="45"/>
  <c r="H57" i="45"/>
  <c r="J57" i="45" s="1"/>
  <c r="H58" i="45"/>
  <c r="J58" i="45" s="1"/>
  <c r="H48" i="45"/>
  <c r="J48" i="45" s="1"/>
  <c r="H49" i="45"/>
  <c r="J49" i="45" s="1"/>
  <c r="H50" i="45"/>
  <c r="J50" i="45" s="1"/>
  <c r="H51" i="45"/>
  <c r="J51" i="45" s="1"/>
  <c r="H41" i="45"/>
  <c r="J41" i="45" s="1"/>
  <c r="H42" i="45"/>
  <c r="J42" i="45" s="1"/>
  <c r="H43" i="45"/>
  <c r="J43" i="45" s="1"/>
  <c r="H44" i="45"/>
  <c r="J44" i="45" s="1"/>
  <c r="H34" i="45"/>
  <c r="J34" i="45" s="1"/>
  <c r="H35" i="45"/>
  <c r="H36" i="45"/>
  <c r="J36" i="45" s="1"/>
  <c r="H37" i="45"/>
  <c r="H27" i="45"/>
  <c r="J27" i="45" s="1"/>
  <c r="H28" i="45"/>
  <c r="J28" i="45" s="1"/>
  <c r="H29" i="45"/>
  <c r="J29" i="45" s="1"/>
  <c r="H30" i="45"/>
  <c r="J30" i="45" s="1"/>
  <c r="H20" i="45"/>
  <c r="J20" i="45" s="1"/>
  <c r="H21" i="45"/>
  <c r="H22" i="45"/>
  <c r="J22" i="45" s="1"/>
  <c r="H23" i="45"/>
  <c r="H13" i="45"/>
  <c r="J13" i="45" s="1"/>
  <c r="H14" i="45"/>
  <c r="J14" i="45" s="1"/>
  <c r="H15" i="45"/>
  <c r="J15" i="45" s="1"/>
  <c r="H16" i="45"/>
  <c r="J16" i="45" s="1"/>
  <c r="H6" i="45"/>
  <c r="J6" i="45" s="1"/>
  <c r="H7" i="45"/>
  <c r="J7" i="45" s="1"/>
  <c r="H8" i="45"/>
  <c r="J8" i="45" s="1"/>
  <c r="H9" i="45"/>
  <c r="J9" i="45" s="1"/>
  <c r="N11" i="43"/>
  <c r="N12" i="43"/>
  <c r="N13" i="43"/>
  <c r="N14" i="43"/>
  <c r="N15" i="43"/>
  <c r="N16" i="43"/>
  <c r="N17" i="43"/>
  <c r="N18" i="43"/>
  <c r="N19" i="43"/>
  <c r="N20" i="43"/>
  <c r="N21" i="43"/>
  <c r="N22" i="43"/>
  <c r="N23" i="43"/>
  <c r="N24" i="43"/>
  <c r="N26" i="43"/>
  <c r="N27" i="43"/>
  <c r="N25" i="43"/>
  <c r="N28" i="43"/>
  <c r="N29" i="43"/>
  <c r="N30" i="43"/>
  <c r="N33" i="43"/>
  <c r="N31" i="43"/>
  <c r="N32" i="43"/>
  <c r="N34" i="43"/>
  <c r="N35" i="43"/>
  <c r="N36" i="43"/>
  <c r="N37" i="43"/>
  <c r="N38" i="43"/>
  <c r="N39" i="43"/>
  <c r="N40" i="43"/>
  <c r="N41" i="43"/>
  <c r="N42" i="43"/>
  <c r="N43" i="43"/>
  <c r="N44" i="43"/>
  <c r="N45" i="43"/>
  <c r="N46" i="43"/>
  <c r="N47" i="43"/>
  <c r="N48" i="43"/>
  <c r="N49" i="43"/>
  <c r="N50" i="43"/>
  <c r="N53" i="43"/>
  <c r="N54" i="43"/>
  <c r="N51" i="43"/>
  <c r="N52" i="43"/>
  <c r="N55" i="43"/>
  <c r="N56" i="43"/>
  <c r="N57" i="43"/>
  <c r="N58" i="43"/>
  <c r="M11" i="43"/>
  <c r="M12" i="43"/>
  <c r="M13" i="43"/>
  <c r="M14" i="43"/>
  <c r="M15" i="43"/>
  <c r="M16" i="43"/>
  <c r="M17" i="43"/>
  <c r="M18" i="43"/>
  <c r="M19" i="43"/>
  <c r="M20" i="43"/>
  <c r="M21" i="43"/>
  <c r="M22" i="43"/>
  <c r="M23" i="43"/>
  <c r="M24" i="43"/>
  <c r="M26" i="43"/>
  <c r="M27" i="43"/>
  <c r="M25" i="43"/>
  <c r="M28" i="43"/>
  <c r="M29" i="43"/>
  <c r="M30" i="43"/>
  <c r="M33" i="43"/>
  <c r="M31" i="43"/>
  <c r="M32" i="43"/>
  <c r="M34" i="43"/>
  <c r="M35" i="43"/>
  <c r="M36" i="43"/>
  <c r="M37" i="43"/>
  <c r="M38" i="43"/>
  <c r="M39" i="43"/>
  <c r="M40" i="43"/>
  <c r="M41" i="43"/>
  <c r="M42" i="43"/>
  <c r="M43" i="43"/>
  <c r="M44" i="43"/>
  <c r="M45" i="43"/>
  <c r="M46" i="43"/>
  <c r="M47" i="43"/>
  <c r="M48" i="43"/>
  <c r="M49" i="43"/>
  <c r="M50" i="43"/>
  <c r="M53" i="43"/>
  <c r="M54" i="43"/>
  <c r="M51" i="43"/>
  <c r="M52" i="43"/>
  <c r="M55" i="43"/>
  <c r="M56" i="43"/>
  <c r="M57" i="43"/>
  <c r="M58" i="43"/>
  <c r="L11" i="43"/>
  <c r="L12" i="43"/>
  <c r="L13" i="43"/>
  <c r="L14" i="43"/>
  <c r="L15" i="43"/>
  <c r="L16" i="43"/>
  <c r="L17" i="43"/>
  <c r="L18" i="43"/>
  <c r="L19" i="43"/>
  <c r="L20" i="43"/>
  <c r="L21" i="43"/>
  <c r="L22" i="43"/>
  <c r="L23" i="43"/>
  <c r="L24" i="43"/>
  <c r="L26" i="43"/>
  <c r="L27" i="43"/>
  <c r="L25" i="43"/>
  <c r="L28" i="43"/>
  <c r="L29" i="43"/>
  <c r="L30" i="43"/>
  <c r="L33" i="43"/>
  <c r="L31" i="43"/>
  <c r="L32" i="43"/>
  <c r="L34" i="43"/>
  <c r="L35" i="43"/>
  <c r="L36" i="43"/>
  <c r="L37" i="43"/>
  <c r="L38" i="43"/>
  <c r="L39" i="43"/>
  <c r="L40" i="43"/>
  <c r="L41" i="43"/>
  <c r="L42" i="43"/>
  <c r="L43" i="43"/>
  <c r="L44" i="43"/>
  <c r="L45" i="43"/>
  <c r="L46" i="43"/>
  <c r="L47" i="43"/>
  <c r="L48" i="43"/>
  <c r="L49" i="43"/>
  <c r="L50" i="43"/>
  <c r="L53" i="43"/>
  <c r="L54" i="43"/>
  <c r="L51" i="43"/>
  <c r="L52" i="43"/>
  <c r="L55" i="43"/>
  <c r="L56" i="43"/>
  <c r="L57" i="43"/>
  <c r="L58" i="43"/>
  <c r="K11" i="43"/>
  <c r="K12" i="43"/>
  <c r="K13" i="43"/>
  <c r="K14" i="43"/>
  <c r="K15" i="43"/>
  <c r="K16" i="43"/>
  <c r="K17" i="43"/>
  <c r="K18" i="43"/>
  <c r="K19" i="43"/>
  <c r="K20" i="43"/>
  <c r="K21" i="43"/>
  <c r="K22" i="43"/>
  <c r="K23" i="43"/>
  <c r="K24" i="43"/>
  <c r="K26" i="43"/>
  <c r="K27" i="43"/>
  <c r="K25" i="43"/>
  <c r="K28" i="43"/>
  <c r="K29" i="43"/>
  <c r="K30" i="43"/>
  <c r="K33" i="43"/>
  <c r="K31" i="43"/>
  <c r="K32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K46" i="43"/>
  <c r="K47" i="43"/>
  <c r="K48" i="43"/>
  <c r="K49" i="43"/>
  <c r="K50" i="43"/>
  <c r="K53" i="43"/>
  <c r="K54" i="43"/>
  <c r="K51" i="43"/>
  <c r="K52" i="43"/>
  <c r="K55" i="43"/>
  <c r="K56" i="43"/>
  <c r="K57" i="43"/>
  <c r="K58" i="43"/>
  <c r="J56" i="45" l="1"/>
  <c r="J23" i="45"/>
  <c r="J21" i="45"/>
  <c r="J37" i="45"/>
  <c r="J35" i="45"/>
  <c r="G21" i="45"/>
  <c r="F55" i="45"/>
  <c r="F6" i="45"/>
  <c r="F16" i="45"/>
  <c r="F14" i="45"/>
  <c r="F23" i="45"/>
  <c r="F21" i="45"/>
  <c r="F30" i="45"/>
  <c r="F28" i="45"/>
  <c r="F37" i="45"/>
  <c r="F35" i="45"/>
  <c r="F44" i="45"/>
  <c r="F42" i="45"/>
  <c r="F51" i="45"/>
  <c r="F49" i="45"/>
  <c r="F58" i="45"/>
  <c r="F56" i="45"/>
  <c r="G6" i="45"/>
  <c r="G8" i="45"/>
  <c r="G16" i="45"/>
  <c r="G14" i="45"/>
  <c r="G20" i="45"/>
  <c r="G34" i="45"/>
  <c r="G48" i="45"/>
  <c r="G57" i="45"/>
  <c r="G55" i="45"/>
  <c r="G50" i="45"/>
  <c r="G44" i="45"/>
  <c r="G42" i="45"/>
  <c r="G36" i="45"/>
  <c r="G30" i="45"/>
  <c r="G28" i="45"/>
  <c r="G22" i="45"/>
  <c r="F15" i="45"/>
  <c r="F13" i="45"/>
  <c r="F22" i="45"/>
  <c r="F20" i="45"/>
  <c r="F29" i="45"/>
  <c r="F27" i="45"/>
  <c r="F36" i="45"/>
  <c r="F34" i="45"/>
  <c r="F43" i="45"/>
  <c r="F41" i="45"/>
  <c r="F50" i="45"/>
  <c r="F48" i="45"/>
  <c r="F57" i="45"/>
  <c r="G7" i="45"/>
  <c r="G9" i="45"/>
  <c r="G15" i="45"/>
  <c r="G13" i="45"/>
  <c r="G27" i="45"/>
  <c r="G41" i="45"/>
  <c r="G58" i="45"/>
  <c r="G56" i="45"/>
  <c r="G51" i="45"/>
  <c r="G49" i="45"/>
  <c r="G43" i="45"/>
  <c r="G37" i="45"/>
  <c r="G35" i="45"/>
  <c r="G29" i="45"/>
  <c r="G23" i="45"/>
  <c r="F9" i="45"/>
  <c r="F7" i="45"/>
  <c r="F8" i="45"/>
  <c r="E55" i="45"/>
  <c r="E23" i="45"/>
  <c r="K23" i="45" s="1"/>
  <c r="E21" i="45"/>
  <c r="K21" i="45" s="1"/>
  <c r="E30" i="45"/>
  <c r="K30" i="45" s="1"/>
  <c r="L30" i="45" s="1"/>
  <c r="E28" i="45"/>
  <c r="K28" i="45" s="1"/>
  <c r="L28" i="45" s="1"/>
  <c r="E37" i="45"/>
  <c r="K37" i="45" s="1"/>
  <c r="E35" i="45"/>
  <c r="K35" i="45" s="1"/>
  <c r="E44" i="45"/>
  <c r="K44" i="45" s="1"/>
  <c r="L44" i="45" s="1"/>
  <c r="E42" i="45"/>
  <c r="K42" i="45" s="1"/>
  <c r="L42" i="45" s="1"/>
  <c r="E51" i="45"/>
  <c r="K51" i="45" s="1"/>
  <c r="L51" i="45" s="1"/>
  <c r="E49" i="45"/>
  <c r="K49" i="45" s="1"/>
  <c r="L49" i="45" s="1"/>
  <c r="E58" i="45"/>
  <c r="K58" i="45" s="1"/>
  <c r="L58" i="45" s="1"/>
  <c r="E56" i="45"/>
  <c r="K56" i="45" s="1"/>
  <c r="L56" i="45" s="1"/>
  <c r="E22" i="45"/>
  <c r="K22" i="45" s="1"/>
  <c r="L22" i="45" s="1"/>
  <c r="E20" i="45"/>
  <c r="K20" i="45" s="1"/>
  <c r="L20" i="45" s="1"/>
  <c r="E29" i="45"/>
  <c r="K29" i="45" s="1"/>
  <c r="L29" i="45" s="1"/>
  <c r="E27" i="45"/>
  <c r="K27" i="45" s="1"/>
  <c r="L27" i="45" s="1"/>
  <c r="E36" i="45"/>
  <c r="K36" i="45" s="1"/>
  <c r="L36" i="45" s="1"/>
  <c r="E34" i="45"/>
  <c r="K34" i="45" s="1"/>
  <c r="L34" i="45" s="1"/>
  <c r="E43" i="45"/>
  <c r="K43" i="45" s="1"/>
  <c r="L43" i="45" s="1"/>
  <c r="E41" i="45"/>
  <c r="K41" i="45" s="1"/>
  <c r="L41" i="45" s="1"/>
  <c r="E50" i="45"/>
  <c r="K50" i="45" s="1"/>
  <c r="L50" i="45" s="1"/>
  <c r="E48" i="45"/>
  <c r="K48" i="45" s="1"/>
  <c r="L48" i="45" s="1"/>
  <c r="E57" i="45"/>
  <c r="K57" i="45" s="1"/>
  <c r="L57" i="45" s="1"/>
  <c r="E13" i="45"/>
  <c r="E16" i="45"/>
  <c r="K16" i="45" s="1"/>
  <c r="L16" i="45" s="1"/>
  <c r="E14" i="45"/>
  <c r="K14" i="45" s="1"/>
  <c r="L14" i="45" s="1"/>
  <c r="E15" i="45"/>
  <c r="K15" i="45" s="1"/>
  <c r="L15" i="45" s="1"/>
  <c r="E7" i="45"/>
  <c r="K7" i="45" s="1"/>
  <c r="L7" i="45" s="1"/>
  <c r="E9" i="45"/>
  <c r="K9" i="45" s="1"/>
  <c r="L9" i="45" s="1"/>
  <c r="E8" i="45"/>
  <c r="E6" i="45"/>
  <c r="K13" i="45" l="1"/>
  <c r="L13" i="45" s="1"/>
  <c r="C48" i="45"/>
  <c r="C41" i="45"/>
  <c r="C27" i="45"/>
  <c r="C13" i="45"/>
  <c r="C49" i="45"/>
  <c r="C42" i="45"/>
  <c r="C28" i="45"/>
  <c r="C14" i="45"/>
  <c r="C50" i="45"/>
  <c r="C43" i="45"/>
  <c r="C29" i="45"/>
  <c r="C15" i="45"/>
  <c r="C51" i="45"/>
  <c r="C44" i="45"/>
  <c r="C30" i="45"/>
  <c r="C16" i="45"/>
  <c r="L37" i="45"/>
  <c r="L23" i="45"/>
  <c r="L35" i="45"/>
  <c r="C34" i="45" s="1"/>
  <c r="L21" i="45"/>
  <c r="C20" i="45" s="1"/>
  <c r="K6" i="45"/>
  <c r="K8" i="45"/>
  <c r="K55" i="45"/>
  <c r="J27" i="47" l="1"/>
  <c r="G28" i="47"/>
  <c r="J33" i="47"/>
  <c r="J20" i="47" s="1"/>
  <c r="G31" i="47"/>
  <c r="G29" i="47"/>
  <c r="J26" i="47"/>
  <c r="J30" i="47"/>
  <c r="B16" i="47" s="1"/>
  <c r="G32" i="47"/>
  <c r="C37" i="45"/>
  <c r="C36" i="45"/>
  <c r="C23" i="45"/>
  <c r="C35" i="45"/>
  <c r="C22" i="45"/>
  <c r="C21" i="45"/>
  <c r="L55" i="45"/>
  <c r="C55" i="45" s="1"/>
  <c r="L6" i="45"/>
  <c r="L8" i="45"/>
  <c r="B6" i="47"/>
  <c r="B10" i="47"/>
  <c r="G27" i="47" l="1"/>
  <c r="J32" i="47"/>
  <c r="J28" i="47"/>
  <c r="J10" i="47" s="1"/>
  <c r="G30" i="47"/>
  <c r="C8" i="45"/>
  <c r="C57" i="45"/>
  <c r="C56" i="45"/>
  <c r="C58" i="45"/>
  <c r="C6" i="45"/>
  <c r="C9" i="45"/>
  <c r="C7" i="45"/>
  <c r="J14" i="47"/>
  <c r="B18" i="47"/>
  <c r="J4" i="47"/>
  <c r="J8" i="47"/>
  <c r="J16" i="47"/>
  <c r="J31" i="47" l="1"/>
  <c r="G33" i="47"/>
  <c r="J18" i="47" s="1"/>
  <c r="J29" i="47"/>
  <c r="J6" i="47" s="1"/>
  <c r="G26" i="47"/>
  <c r="B4" i="47" s="1"/>
  <c r="B20" i="47"/>
  <c r="J40" i="47"/>
  <c r="H19" i="47" s="1"/>
  <c r="G40" i="47"/>
  <c r="J37" i="47"/>
  <c r="D19" i="47" s="1"/>
  <c r="B14" i="47"/>
  <c r="G37" i="47"/>
  <c r="J39" i="47"/>
  <c r="H9" i="47" s="1"/>
  <c r="G39" i="47"/>
  <c r="B8" i="47"/>
  <c r="J38" i="47"/>
  <c r="D9" i="47" s="1"/>
  <c r="G38" i="47"/>
  <c r="H15" i="47" l="1"/>
  <c r="J45" i="47"/>
  <c r="H5" i="47"/>
  <c r="G45" i="47"/>
  <c r="D5" i="47"/>
  <c r="G44" i="47"/>
  <c r="D15" i="47"/>
  <c r="J44" i="47"/>
  <c r="G17" i="47" l="1"/>
  <c r="J53" i="47"/>
  <c r="F14" i="47" s="1"/>
  <c r="G7" i="47"/>
  <c r="J49" i="47"/>
  <c r="E17" i="47"/>
  <c r="G49" i="47"/>
  <c r="E7" i="47"/>
  <c r="G53" i="47"/>
  <c r="F10" i="47" l="1"/>
</calcChain>
</file>

<file path=xl/sharedStrings.xml><?xml version="1.0" encoding="utf-8"?>
<sst xmlns="http://schemas.openxmlformats.org/spreadsheetml/2006/main" count="460" uniqueCount="120">
  <si>
    <t>W</t>
  </si>
  <si>
    <t>D</t>
  </si>
  <si>
    <t>L</t>
  </si>
  <si>
    <t>GF</t>
  </si>
  <si>
    <t>GA</t>
  </si>
  <si>
    <t>Pts</t>
  </si>
  <si>
    <t>Brazil</t>
  </si>
  <si>
    <t>Germany</t>
  </si>
  <si>
    <t>Italy</t>
  </si>
  <si>
    <t>Argentina</t>
  </si>
  <si>
    <t>France</t>
  </si>
  <si>
    <t>England</t>
  </si>
  <si>
    <t>Spain</t>
  </si>
  <si>
    <t>Netherlands</t>
  </si>
  <si>
    <t>Serbia</t>
  </si>
  <si>
    <t>Uruguay</t>
  </si>
  <si>
    <t>Mexico</t>
  </si>
  <si>
    <t>Slovakia</t>
  </si>
  <si>
    <t>Portugal</t>
  </si>
  <si>
    <t>Switzerland</t>
  </si>
  <si>
    <t>Chile</t>
  </si>
  <si>
    <t>Paraguay</t>
  </si>
  <si>
    <t>Denmark</t>
  </si>
  <si>
    <t>USA</t>
  </si>
  <si>
    <t>Korea Republic</t>
  </si>
  <si>
    <t>Nigeria</t>
  </si>
  <si>
    <t>Japan</t>
  </si>
  <si>
    <t>Algeria</t>
  </si>
  <si>
    <t>Ghana</t>
  </si>
  <si>
    <t>South Africa</t>
  </si>
  <si>
    <t>Australia</t>
  </si>
  <si>
    <t>Korea DPR</t>
  </si>
  <si>
    <t>Honduras</t>
  </si>
  <si>
    <t>Slovenia</t>
  </si>
  <si>
    <t>New Zealand</t>
  </si>
  <si>
    <t>Greece</t>
  </si>
  <si>
    <t>Country</t>
  </si>
  <si>
    <t>Rank</t>
  </si>
  <si>
    <t>Cameroon</t>
  </si>
  <si>
    <t>Group A</t>
  </si>
  <si>
    <t>Match</t>
  </si>
  <si>
    <t>Venue</t>
  </si>
  <si>
    <t>Johannesburg - JSC</t>
  </si>
  <si>
    <t>Cape Town</t>
  </si>
  <si>
    <t>Tshwane/Pretoria</t>
  </si>
  <si>
    <t>Polokwane</t>
  </si>
  <si>
    <t>Rustenburg</t>
  </si>
  <si>
    <t>Manguang / Bloemfontein</t>
  </si>
  <si>
    <t>Group B</t>
  </si>
  <si>
    <t>Johannesburg - JEP</t>
  </si>
  <si>
    <t>Nelson Mandela Bay / Port Elizabeth</t>
  </si>
  <si>
    <t>Durban</t>
  </si>
  <si>
    <t>Group C</t>
  </si>
  <si>
    <t>Tshwane/ Pretoria</t>
  </si>
  <si>
    <t>Group D</t>
  </si>
  <si>
    <t>Johannesburgh - JSC</t>
  </si>
  <si>
    <t>Nelspruit</t>
  </si>
  <si>
    <t>Group E</t>
  </si>
  <si>
    <t>Group F</t>
  </si>
  <si>
    <t>Cote d' Ivoire</t>
  </si>
  <si>
    <t>TeamA</t>
  </si>
  <si>
    <t>TeamB</t>
  </si>
  <si>
    <t>ScoreA</t>
  </si>
  <si>
    <t>ScoreB</t>
  </si>
  <si>
    <t>Group</t>
  </si>
  <si>
    <t>A</t>
  </si>
  <si>
    <t>B</t>
  </si>
  <si>
    <t>C</t>
  </si>
  <si>
    <t>E</t>
  </si>
  <si>
    <t>F</t>
  </si>
  <si>
    <t>G</t>
  </si>
  <si>
    <t>H</t>
  </si>
  <si>
    <t>June 11th</t>
  </si>
  <si>
    <t>June 12th</t>
  </si>
  <si>
    <t>June 13th</t>
  </si>
  <si>
    <t>June 14th</t>
  </si>
  <si>
    <t>June 15th</t>
  </si>
  <si>
    <t>June 16th</t>
  </si>
  <si>
    <t>June 17th</t>
  </si>
  <si>
    <t>June 18th</t>
  </si>
  <si>
    <t>June 19th</t>
  </si>
  <si>
    <t>June 20th</t>
  </si>
  <si>
    <t>June 21st</t>
  </si>
  <si>
    <t>June 22nd</t>
  </si>
  <si>
    <t>June 23rd</t>
  </si>
  <si>
    <t>June 24th</t>
  </si>
  <si>
    <t>June 25th</t>
  </si>
  <si>
    <t xml:space="preserve">Date </t>
  </si>
  <si>
    <t>Winner</t>
  </si>
  <si>
    <t>Loser</t>
  </si>
  <si>
    <t>Draw1</t>
  </si>
  <si>
    <t>Draw2</t>
  </si>
  <si>
    <t>Group G</t>
  </si>
  <si>
    <t>Group H</t>
  </si>
  <si>
    <t>GD</t>
  </si>
  <si>
    <t>Round 16</t>
  </si>
  <si>
    <t>Time</t>
  </si>
  <si>
    <t>June 26th</t>
  </si>
  <si>
    <t>June 27th</t>
  </si>
  <si>
    <t>June 28th</t>
  </si>
  <si>
    <t>June 29th</t>
  </si>
  <si>
    <t>Johannesburg</t>
  </si>
  <si>
    <t>Quarter Final</t>
  </si>
  <si>
    <t>July 2nd</t>
  </si>
  <si>
    <t>July 3rd</t>
  </si>
  <si>
    <t>Semi Finals</t>
  </si>
  <si>
    <t>3rd Place</t>
  </si>
  <si>
    <t>Final</t>
  </si>
  <si>
    <t>Champion</t>
  </si>
  <si>
    <t>July 6th</t>
  </si>
  <si>
    <t>July 7th</t>
  </si>
  <si>
    <t>July 10th</t>
  </si>
  <si>
    <t>July 11th</t>
  </si>
  <si>
    <t>Round of 16</t>
  </si>
  <si>
    <t>Quarter-finals</t>
  </si>
  <si>
    <t>Semi-Finals</t>
  </si>
  <si>
    <t>Quarter-Finals</t>
  </si>
  <si>
    <t>Tie Breaker</t>
  </si>
  <si>
    <t>Select Favorite Team:</t>
  </si>
  <si>
    <t>To learn how to create this template visit the Excel® blog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</si>
</sst>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color theme="6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Arial Rounded MT Bold"/>
      <family val="2"/>
    </font>
    <font>
      <sz val="11"/>
      <color rgb="FF006100"/>
      <name val="Calibri"/>
      <family val="2"/>
      <scheme val="minor"/>
    </font>
    <font>
      <sz val="18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5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theme="9" tint="0.39994506668294322"/>
      </left>
      <right/>
      <top style="mediumDashed">
        <color theme="9" tint="0.39994506668294322"/>
      </top>
      <bottom/>
      <diagonal/>
    </border>
    <border>
      <left/>
      <right/>
      <top style="mediumDashed">
        <color theme="9" tint="0.39994506668294322"/>
      </top>
      <bottom/>
      <diagonal/>
    </border>
    <border>
      <left/>
      <right style="mediumDashed">
        <color theme="9" tint="0.39994506668294322"/>
      </right>
      <top style="mediumDashed">
        <color theme="9" tint="0.39994506668294322"/>
      </top>
      <bottom/>
      <diagonal/>
    </border>
    <border>
      <left style="mediumDashed">
        <color theme="9" tint="0.39994506668294322"/>
      </left>
      <right/>
      <top/>
      <bottom/>
      <diagonal/>
    </border>
    <border>
      <left/>
      <right style="mediumDashed">
        <color theme="9" tint="0.39994506668294322"/>
      </right>
      <top/>
      <bottom/>
      <diagonal/>
    </border>
    <border>
      <left style="mediumDashed">
        <color theme="9" tint="0.39994506668294322"/>
      </left>
      <right/>
      <top/>
      <bottom style="mediumDashed">
        <color theme="9" tint="0.39994506668294322"/>
      </bottom>
      <diagonal/>
    </border>
    <border>
      <left/>
      <right/>
      <top/>
      <bottom style="mediumDashed">
        <color theme="9" tint="0.39994506668294322"/>
      </bottom>
      <diagonal/>
    </border>
    <border>
      <left/>
      <right style="mediumDashed">
        <color theme="9" tint="0.39994506668294322"/>
      </right>
      <top/>
      <bottom style="mediumDashed">
        <color theme="9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Dashed">
        <color theme="9"/>
      </left>
      <right/>
      <top style="mediumDashed">
        <color theme="9"/>
      </top>
      <bottom/>
      <diagonal/>
    </border>
    <border>
      <left/>
      <right/>
      <top style="mediumDashed">
        <color theme="9"/>
      </top>
      <bottom/>
      <diagonal/>
    </border>
    <border>
      <left/>
      <right style="mediumDashed">
        <color theme="9"/>
      </right>
      <top style="mediumDashed">
        <color theme="9"/>
      </top>
      <bottom/>
      <diagonal/>
    </border>
    <border>
      <left style="mediumDashed">
        <color theme="9"/>
      </left>
      <right/>
      <top/>
      <bottom/>
      <diagonal/>
    </border>
    <border>
      <left/>
      <right style="mediumDashed">
        <color theme="9"/>
      </right>
      <top/>
      <bottom/>
      <diagonal/>
    </border>
    <border>
      <left style="mediumDashed">
        <color theme="9"/>
      </left>
      <right/>
      <top/>
      <bottom style="mediumDashed">
        <color theme="9"/>
      </bottom>
      <diagonal/>
    </border>
    <border>
      <left/>
      <right/>
      <top/>
      <bottom style="mediumDashed">
        <color theme="9"/>
      </bottom>
      <diagonal/>
    </border>
    <border>
      <left/>
      <right style="mediumDashed">
        <color theme="9"/>
      </right>
      <top/>
      <bottom style="mediumDashed">
        <color theme="9"/>
      </bottom>
      <diagonal/>
    </border>
    <border>
      <left style="mediumDashed">
        <color theme="9"/>
      </left>
      <right/>
      <top style="mediumDashed">
        <color theme="9"/>
      </top>
      <bottom style="mediumDashed">
        <color theme="9"/>
      </bottom>
      <diagonal/>
    </border>
    <border>
      <left/>
      <right/>
      <top style="mediumDashed">
        <color theme="9"/>
      </top>
      <bottom style="mediumDashed">
        <color theme="9"/>
      </bottom>
      <diagonal/>
    </border>
    <border>
      <left/>
      <right style="mediumDashed">
        <color theme="9"/>
      </right>
      <top style="mediumDashed">
        <color theme="9"/>
      </top>
      <bottom style="mediumDashed">
        <color theme="9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8" borderId="0" applyNumberFormat="0" applyBorder="0" applyAlignment="0" applyProtection="0"/>
  </cellStyleXfs>
  <cellXfs count="80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0" fillId="0" borderId="0" xfId="0" applyNumberFormat="1"/>
    <xf numFmtId="0" fontId="8" fillId="0" borderId="0" xfId="0" applyFont="1"/>
    <xf numFmtId="0" fontId="4" fillId="0" borderId="0" xfId="0" applyFont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9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10" fillId="0" borderId="0" xfId="0" applyFont="1"/>
    <xf numFmtId="0" fontId="0" fillId="4" borderId="0" xfId="0" applyFill="1" applyBorder="1"/>
    <xf numFmtId="0" fontId="9" fillId="6" borderId="0" xfId="0" applyFont="1" applyFill="1" applyBorder="1"/>
    <xf numFmtId="0" fontId="9" fillId="6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11" fillId="0" borderId="22" xfId="0" applyFont="1" applyBorder="1"/>
    <xf numFmtId="0" fontId="11" fillId="0" borderId="23" xfId="0" applyFont="1" applyBorder="1"/>
    <xf numFmtId="18" fontId="0" fillId="3" borderId="0" xfId="0" applyNumberFormat="1" applyFont="1" applyFill="1" applyBorder="1" applyAlignment="1">
      <alignment horizontal="center"/>
    </xf>
    <xf numFmtId="18" fontId="0" fillId="4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18" fontId="0" fillId="0" borderId="0" xfId="0" applyNumberFormat="1" applyBorder="1" applyAlignment="1">
      <alignment horizontal="center"/>
    </xf>
    <xf numFmtId="0" fontId="14" fillId="4" borderId="0" xfId="0" applyFont="1" applyFill="1"/>
    <xf numFmtId="0" fontId="14" fillId="4" borderId="0" xfId="0" applyNumberFormat="1" applyFont="1" applyFill="1" applyBorder="1"/>
    <xf numFmtId="0" fontId="14" fillId="0" borderId="0" xfId="0" applyFont="1"/>
    <xf numFmtId="0" fontId="3" fillId="0" borderId="0" xfId="0" applyNumberFormat="1" applyFont="1" applyBorder="1" applyAlignment="1">
      <alignment horizontal="center"/>
    </xf>
    <xf numFmtId="0" fontId="17" fillId="0" borderId="0" xfId="2" applyFont="1"/>
    <xf numFmtId="0" fontId="15" fillId="7" borderId="0" xfId="1"/>
    <xf numFmtId="0" fontId="19" fillId="8" borderId="1" xfId="3" applyFont="1" applyBorder="1"/>
    <xf numFmtId="0" fontId="12" fillId="0" borderId="24" xfId="0" applyFont="1" applyBorder="1" applyAlignment="1">
      <alignment horizontal="center"/>
    </xf>
    <xf numFmtId="0" fontId="17" fillId="0" borderId="0" xfId="2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</cellXfs>
  <cellStyles count="4">
    <cellStyle name="Good" xfId="3" builtinId="26"/>
    <cellStyle name="Hyperlink" xfId="2" builtinId="8"/>
    <cellStyle name="Neutral" xfId="1" builtinId="28"/>
    <cellStyle name="Normal" xfId="0" builtinId="0"/>
  </cellStyles>
  <dxfs count="105">
    <dxf>
      <font>
        <b val="0"/>
        <i val="0"/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Dashed">
          <color theme="9" tint="0.39994506668294322"/>
        </right>
        <top/>
        <bottom/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</font>
      <border diagonalUp="0" diagonalDown="0" outline="0">
        <left style="mediumDashed">
          <color theme="9" tint="0.39994506668294322"/>
        </left>
        <right/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Dashed">
          <color theme="9" tint="0.39994506668294322"/>
        </right>
        <top/>
        <bottom/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</font>
      <border diagonalUp="0" diagonalDown="0" outline="0">
        <left style="mediumDashed">
          <color theme="9" tint="0.39994506668294322"/>
        </left>
        <right/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Dashed">
          <color theme="9" tint="0.39994506668294322"/>
        </right>
        <top/>
        <bottom/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</font>
      <border diagonalUp="0" diagonalDown="0" outline="0">
        <left style="mediumDashed">
          <color theme="9" tint="0.39994506668294322"/>
        </left>
        <right/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Dashed">
          <color theme="9" tint="0.39994506668294322"/>
        </right>
        <top/>
        <bottom/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</font>
      <border diagonalUp="0" diagonalDown="0" outline="0">
        <left style="mediumDashed">
          <color theme="9" tint="0.39994506668294322"/>
        </left>
        <right/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Dashed">
          <color theme="9" tint="0.39994506668294322"/>
        </right>
        <top/>
        <bottom/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</font>
      <border diagonalUp="0" diagonalDown="0" outline="0">
        <left style="mediumDashed">
          <color theme="9" tint="0.39994506668294322"/>
        </left>
        <right/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/>
        <right style="mediumDashed">
          <color theme="9" tint="0.39994506668294322"/>
        </right>
        <top/>
        <bottom/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</font>
      <border diagonalUp="0" diagonalDown="0" outline="0">
        <left style="mediumDashed">
          <color theme="9" tint="0.39994506668294322"/>
        </left>
        <right/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Dashed">
          <color theme="9" tint="0.39994506668294322"/>
        </right>
        <top/>
        <bottom/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</font>
      <border diagonalUp="0" diagonalDown="0" outline="0">
        <left style="mediumDashed">
          <color theme="9" tint="0.39994506668294322"/>
        </left>
        <right/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Dashed">
          <color theme="9" tint="0.39994506668294322"/>
        </right>
        <top/>
        <bottom/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</font>
      <border diagonalUp="0" diagonalDown="0" outline="0">
        <left style="mediumDashed">
          <color theme="9" tint="0.39994506668294322"/>
        </left>
        <right/>
        <top/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ill>
        <patternFill>
          <bgColor theme="9" tint="0.79998168889431442"/>
        </patternFill>
      </fill>
      <border>
        <left style="dashDot">
          <color theme="9"/>
        </left>
        <right style="dashDot">
          <color theme="9"/>
        </right>
        <top style="dashDot">
          <color theme="9"/>
        </top>
        <bottom style="dashDot">
          <color theme="9"/>
        </bottom>
        <vertical/>
        <horizontal/>
      </border>
    </dxf>
    <dxf>
      <font>
        <b/>
        <i val="0"/>
        <color rgb="FF00B050"/>
      </font>
      <numFmt numFmtId="0" formatCode="General"/>
      <fill>
        <patternFill>
          <bgColor theme="0"/>
        </patternFill>
      </fill>
    </dxf>
    <dxf>
      <font>
        <b/>
        <i val="0"/>
        <color theme="0" tint="-0.34998626667073579"/>
      </font>
      <fill>
        <patternFill>
          <bgColor theme="0"/>
        </patternFill>
      </fill>
      <border>
        <vertical/>
        <horizontal/>
      </border>
    </dxf>
    <dxf>
      <font>
        <b/>
        <i val="0"/>
        <color rgb="FF00B050"/>
      </font>
      <fill>
        <patternFill>
          <bgColor theme="0"/>
        </patternFill>
      </fill>
      <border>
        <vertical/>
        <horizontal/>
      </border>
    </dxf>
    <dxf>
      <font>
        <b/>
        <i val="0"/>
        <color theme="0" tint="-0.24994659260841701"/>
      </font>
      <fill>
        <patternFill>
          <bgColor theme="0"/>
        </patternFill>
      </fill>
      <border>
        <vertical/>
        <horizontal/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theme="5"/>
      </font>
      <fill>
        <patternFill>
          <bgColor rgb="FFFFFF00"/>
        </patternFill>
      </fill>
    </dxf>
    <dxf>
      <font>
        <color theme="5"/>
      </font>
      <fill>
        <patternFill>
          <bgColor rgb="FFFFFF00"/>
        </patternFill>
      </fill>
    </dxf>
    <dxf>
      <font>
        <b/>
        <i val="0"/>
        <color theme="0" tint="-0.34998626667073579"/>
      </font>
    </dxf>
    <dxf>
      <font>
        <b/>
        <i val="0"/>
        <color rgb="FF00B050"/>
      </font>
      <fill>
        <patternFill>
          <bgColor theme="0"/>
        </patternFill>
      </fill>
    </dxf>
    <dxf>
      <fill>
        <patternFill>
          <bgColor theme="9" tint="0.79998168889431442"/>
        </patternFill>
      </fill>
      <border>
        <left style="dashDotDot">
          <color theme="9"/>
        </left>
        <right style="dashDotDot">
          <color theme="9"/>
        </right>
        <top style="dashDotDot">
          <color theme="9"/>
        </top>
        <bottom style="dashDotDot">
          <color theme="9"/>
        </bottom>
        <vertical/>
        <horizontal/>
      </border>
    </dxf>
    <dxf>
      <font>
        <b/>
        <i val="0"/>
        <color theme="0" tint="-0.34998626667073579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rgb="FF00B050"/>
      </font>
      <numFmt numFmtId="0" formatCode="General"/>
      <fill>
        <patternFill>
          <bgColor theme="0"/>
        </patternFill>
      </fill>
    </dxf>
    <dxf>
      <font>
        <color theme="0" tint="-0.499984740745262"/>
      </font>
      <fill>
        <patternFill>
          <bgColor theme="0"/>
        </patternFill>
      </fill>
    </dxf>
  </dxfs>
  <tableStyles count="1" defaultTableStyle="TableStyleMedium2" defaultPivotStyle="PivotStyleLight16">
    <tableStyle name="Table Style 1" pivot="0" count="1">
      <tableStyleElement type="wholeTable" dxfId="10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444803</xdr:colOff>
      <xdr:row>0</xdr:row>
      <xdr:rowOff>170720</xdr:rowOff>
    </xdr:from>
    <xdr:ext cx="6381750" cy="937629"/>
    <xdr:sp macro="" textlink="">
      <xdr:nvSpPr>
        <xdr:cNvPr id="3" name="Rectangle 2"/>
        <xdr:cNvSpPr/>
      </xdr:nvSpPr>
      <xdr:spPr>
        <a:xfrm>
          <a:off x="2088546" y="170720"/>
          <a:ext cx="63817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Group Stage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381000</xdr:colOff>
          <xdr:row>7</xdr:row>
          <xdr:rowOff>54433</xdr:rowOff>
        </xdr:from>
        <xdr:to>
          <xdr:col>25</xdr:col>
          <xdr:colOff>371474</xdr:colOff>
          <xdr:row>67</xdr:row>
          <xdr:rowOff>97975</xdr:rowOff>
        </xdr:to>
        <xdr:pic>
          <xdr:nvPicPr>
            <xdr:cNvPr id="6" name="Picture 5"/>
            <xdr:cNvPicPr>
              <a:picLocks noChangeAspect="1" noChangeArrowheads="1"/>
              <a:extLst>
                <a:ext uri="{84589F7E-364E-4C9E-8A38-B11213B215E9}">
                  <a14:cameraTool cellRange="'Group Standings '!$B$4:$K$58" spid="_x0000_s314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409714" y="1567547"/>
              <a:ext cx="7458075" cy="11266714"/>
            </a:xfrm>
            <a:prstGeom prst="rect">
              <a:avLst/>
            </a:prstGeom>
            <a:ln>
              <a:noFill/>
            </a:ln>
            <a:effectLst>
              <a:outerShdw blurRad="292100" dist="139700" dir="2700000" algn="tl" rotWithShape="0">
                <a:srgbClr val="333333">
                  <a:alpha val="65000"/>
                </a:srgbClr>
              </a:outerShdw>
            </a:effectLst>
          </xdr:spPr>
        </xdr:pic>
        <xdr:clientData/>
      </xdr:twoCellAnchor>
    </mc:Choice>
    <mc:Fallback/>
  </mc:AlternateContent>
  <xdr:oneCellAnchor>
    <xdr:from>
      <xdr:col>17</xdr:col>
      <xdr:colOff>618975</xdr:colOff>
      <xdr:row>0</xdr:row>
      <xdr:rowOff>170720</xdr:rowOff>
    </xdr:from>
    <xdr:ext cx="6381750" cy="937629"/>
    <xdr:sp macro="" textlink="">
      <xdr:nvSpPr>
        <xdr:cNvPr id="5" name="Rectangle 4"/>
        <xdr:cNvSpPr/>
      </xdr:nvSpPr>
      <xdr:spPr>
        <a:xfrm>
          <a:off x="13355261" y="170720"/>
          <a:ext cx="63817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Group Standings</a:t>
          </a:r>
        </a:p>
      </xdr:txBody>
    </xdr:sp>
    <xdr:clientData/>
  </xdr:oneCellAnchor>
  <xdr:twoCellAnchor>
    <xdr:from>
      <xdr:col>14</xdr:col>
      <xdr:colOff>54427</xdr:colOff>
      <xdr:row>1</xdr:row>
      <xdr:rowOff>87083</xdr:rowOff>
    </xdr:from>
    <xdr:to>
      <xdr:col>14</xdr:col>
      <xdr:colOff>729342</xdr:colOff>
      <xdr:row>3</xdr:row>
      <xdr:rowOff>76201</xdr:rowOff>
    </xdr:to>
    <xdr:sp macro="" textlink="">
      <xdr:nvSpPr>
        <xdr:cNvPr id="4" name="Striped Right Arrow 3"/>
        <xdr:cNvSpPr/>
      </xdr:nvSpPr>
      <xdr:spPr>
        <a:xfrm>
          <a:off x="11223170" y="272140"/>
          <a:ext cx="674915" cy="359232"/>
        </a:xfrm>
        <a:prstGeom prst="stripedRightArrow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95250</xdr:rowOff>
    </xdr:from>
    <xdr:to>
      <xdr:col>3</xdr:col>
      <xdr:colOff>0</xdr:colOff>
      <xdr:row>4</xdr:row>
      <xdr:rowOff>95250</xdr:rowOff>
    </xdr:to>
    <xdr:cxnSp macro="">
      <xdr:nvCxnSpPr>
        <xdr:cNvPr id="5" name="Straight Connector 4"/>
        <xdr:cNvCxnSpPr/>
      </xdr:nvCxnSpPr>
      <xdr:spPr>
        <a:xfrm>
          <a:off x="11210925" y="4876800"/>
          <a:ext cx="76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114300</xdr:rowOff>
    </xdr:from>
    <xdr:to>
      <xdr:col>3</xdr:col>
      <xdr:colOff>0</xdr:colOff>
      <xdr:row>8</xdr:row>
      <xdr:rowOff>114300</xdr:rowOff>
    </xdr:to>
    <xdr:cxnSp macro="">
      <xdr:nvCxnSpPr>
        <xdr:cNvPr id="6" name="Straight Connector 5"/>
        <xdr:cNvCxnSpPr/>
      </xdr:nvCxnSpPr>
      <xdr:spPr>
        <a:xfrm>
          <a:off x="11210925" y="5695950"/>
          <a:ext cx="76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14</xdr:row>
      <xdr:rowOff>104775</xdr:rowOff>
    </xdr:from>
    <xdr:to>
      <xdr:col>3</xdr:col>
      <xdr:colOff>0</xdr:colOff>
      <xdr:row>14</xdr:row>
      <xdr:rowOff>104775</xdr:rowOff>
    </xdr:to>
    <xdr:cxnSp macro="">
      <xdr:nvCxnSpPr>
        <xdr:cNvPr id="7" name="Straight Connector 6"/>
        <xdr:cNvCxnSpPr/>
      </xdr:nvCxnSpPr>
      <xdr:spPr>
        <a:xfrm>
          <a:off x="11210925" y="6886575"/>
          <a:ext cx="76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1240631</xdr:colOff>
      <xdr:row>18</xdr:row>
      <xdr:rowOff>114300</xdr:rowOff>
    </xdr:from>
    <xdr:to>
      <xdr:col>3</xdr:col>
      <xdr:colOff>4763</xdr:colOff>
      <xdr:row>18</xdr:row>
      <xdr:rowOff>114300</xdr:rowOff>
    </xdr:to>
    <xdr:cxnSp macro="">
      <xdr:nvCxnSpPr>
        <xdr:cNvPr id="8" name="Straight Connector 7"/>
        <xdr:cNvCxnSpPr/>
      </xdr:nvCxnSpPr>
      <xdr:spPr>
        <a:xfrm>
          <a:off x="1869281" y="3743325"/>
          <a:ext cx="88820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8</xdr:row>
      <xdr:rowOff>85725</xdr:rowOff>
    </xdr:to>
    <xdr:cxnSp macro="">
      <xdr:nvCxnSpPr>
        <xdr:cNvPr id="10" name="Straight Connector 9"/>
        <xdr:cNvCxnSpPr/>
      </xdr:nvCxnSpPr>
      <xdr:spPr>
        <a:xfrm>
          <a:off x="3952875" y="1028700"/>
          <a:ext cx="0" cy="685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</xdr:row>
      <xdr:rowOff>142875</xdr:rowOff>
    </xdr:from>
    <xdr:to>
      <xdr:col>4</xdr:col>
      <xdr:colOff>0</xdr:colOff>
      <xdr:row>18</xdr:row>
      <xdr:rowOff>28575</xdr:rowOff>
    </xdr:to>
    <xdr:cxnSp macro="">
      <xdr:nvCxnSpPr>
        <xdr:cNvPr id="11" name="Straight Connector 10"/>
        <xdr:cNvCxnSpPr/>
      </xdr:nvCxnSpPr>
      <xdr:spPr>
        <a:xfrm>
          <a:off x="3952875" y="2971800"/>
          <a:ext cx="0" cy="685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95250</xdr:rowOff>
    </xdr:from>
    <xdr:to>
      <xdr:col>5</xdr:col>
      <xdr:colOff>0</xdr:colOff>
      <xdr:row>16</xdr:row>
      <xdr:rowOff>66675</xdr:rowOff>
    </xdr:to>
    <xdr:cxnSp macro="">
      <xdr:nvCxnSpPr>
        <xdr:cNvPr id="13" name="Straight Connector 12"/>
        <xdr:cNvCxnSpPr/>
      </xdr:nvCxnSpPr>
      <xdr:spPr>
        <a:xfrm>
          <a:off x="14163675" y="5276850"/>
          <a:ext cx="0" cy="1971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</xdr:row>
      <xdr:rowOff>133350</xdr:rowOff>
    </xdr:from>
    <xdr:to>
      <xdr:col>6</xdr:col>
      <xdr:colOff>0</xdr:colOff>
      <xdr:row>16</xdr:row>
      <xdr:rowOff>104775</xdr:rowOff>
    </xdr:to>
    <xdr:cxnSp macro="">
      <xdr:nvCxnSpPr>
        <xdr:cNvPr id="14" name="Straight Connector 13"/>
        <xdr:cNvCxnSpPr/>
      </xdr:nvCxnSpPr>
      <xdr:spPr>
        <a:xfrm>
          <a:off x="15211425" y="5314950"/>
          <a:ext cx="0" cy="1971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1076325</xdr:colOff>
      <xdr:row>3</xdr:row>
      <xdr:rowOff>180975</xdr:rowOff>
    </xdr:from>
    <xdr:to>
      <xdr:col>6</xdr:col>
      <xdr:colOff>1076325</xdr:colOff>
      <xdr:row>8</xdr:row>
      <xdr:rowOff>142875</xdr:rowOff>
    </xdr:to>
    <xdr:cxnSp macro="">
      <xdr:nvCxnSpPr>
        <xdr:cNvPr id="15" name="Straight Connector 14"/>
        <xdr:cNvCxnSpPr/>
      </xdr:nvCxnSpPr>
      <xdr:spPr>
        <a:xfrm>
          <a:off x="16287750" y="4762500"/>
          <a:ext cx="0" cy="962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1076325</xdr:colOff>
      <xdr:row>13</xdr:row>
      <xdr:rowOff>180975</xdr:rowOff>
    </xdr:from>
    <xdr:to>
      <xdr:col>6</xdr:col>
      <xdr:colOff>1076325</xdr:colOff>
      <xdr:row>18</xdr:row>
      <xdr:rowOff>142875</xdr:rowOff>
    </xdr:to>
    <xdr:cxnSp macro="">
      <xdr:nvCxnSpPr>
        <xdr:cNvPr id="17" name="Straight Connector 16"/>
        <xdr:cNvCxnSpPr/>
      </xdr:nvCxnSpPr>
      <xdr:spPr>
        <a:xfrm>
          <a:off x="16287750" y="6762750"/>
          <a:ext cx="0" cy="962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1381125</xdr:colOff>
      <xdr:row>4</xdr:row>
      <xdr:rowOff>85725</xdr:rowOff>
    </xdr:from>
    <xdr:to>
      <xdr:col>9</xdr:col>
      <xdr:colOff>9525</xdr:colOff>
      <xdr:row>4</xdr:row>
      <xdr:rowOff>85725</xdr:rowOff>
    </xdr:to>
    <xdr:cxnSp macro="">
      <xdr:nvCxnSpPr>
        <xdr:cNvPr id="18" name="Straight Connector 17"/>
        <xdr:cNvCxnSpPr/>
      </xdr:nvCxnSpPr>
      <xdr:spPr>
        <a:xfrm>
          <a:off x="17678400" y="4867275"/>
          <a:ext cx="952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1200150</xdr:colOff>
      <xdr:row>8</xdr:row>
      <xdr:rowOff>104775</xdr:rowOff>
    </xdr:from>
    <xdr:to>
      <xdr:col>9</xdr:col>
      <xdr:colOff>11906</xdr:colOff>
      <xdr:row>8</xdr:row>
      <xdr:rowOff>107156</xdr:rowOff>
    </xdr:to>
    <xdr:cxnSp macro="">
      <xdr:nvCxnSpPr>
        <xdr:cNvPr id="19" name="Straight Connector 18"/>
        <xdr:cNvCxnSpPr/>
      </xdr:nvCxnSpPr>
      <xdr:spPr>
        <a:xfrm>
          <a:off x="9486900" y="1747838"/>
          <a:ext cx="1228725" cy="23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1381125</xdr:colOff>
      <xdr:row>14</xdr:row>
      <xdr:rowOff>66675</xdr:rowOff>
    </xdr:from>
    <xdr:to>
      <xdr:col>9</xdr:col>
      <xdr:colOff>9525</xdr:colOff>
      <xdr:row>14</xdr:row>
      <xdr:rowOff>66675</xdr:rowOff>
    </xdr:to>
    <xdr:cxnSp macro="">
      <xdr:nvCxnSpPr>
        <xdr:cNvPr id="24" name="Straight Connector 23"/>
        <xdr:cNvCxnSpPr/>
      </xdr:nvCxnSpPr>
      <xdr:spPr>
        <a:xfrm>
          <a:off x="17678400" y="6848475"/>
          <a:ext cx="952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1200150</xdr:colOff>
      <xdr:row>18</xdr:row>
      <xdr:rowOff>83344</xdr:rowOff>
    </xdr:from>
    <xdr:to>
      <xdr:col>9</xdr:col>
      <xdr:colOff>0</xdr:colOff>
      <xdr:row>18</xdr:row>
      <xdr:rowOff>85725</xdr:rowOff>
    </xdr:to>
    <xdr:cxnSp macro="">
      <xdr:nvCxnSpPr>
        <xdr:cNvPr id="25" name="Straight Connector 24"/>
        <xdr:cNvCxnSpPr/>
      </xdr:nvCxnSpPr>
      <xdr:spPr>
        <a:xfrm flipV="1">
          <a:off x="9486900" y="3750469"/>
          <a:ext cx="1216819" cy="23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3" name="GroupStages" displayName="GroupStages" ref="B10:N58" totalsRowShown="0">
  <autoFilter ref="B10:N58"/>
  <sortState ref="B11:N58">
    <sortCondition ref="C10:C58"/>
  </sortState>
  <tableColumns count="13">
    <tableColumn id="1" name="Match" dataDxfId="96"/>
    <tableColumn id="2" name="Date " dataDxfId="95"/>
    <tableColumn id="10" name="Time" dataDxfId="94"/>
    <tableColumn id="8" name="Group" dataDxfId="93"/>
    <tableColumn id="3" name="Venue"/>
    <tableColumn id="4" name="TeamA" dataDxfId="92"/>
    <tableColumn id="5" name="ScoreA" dataDxfId="91"/>
    <tableColumn id="7" name="ScoreB" dataDxfId="90"/>
    <tableColumn id="6" name="TeamB" dataDxfId="89"/>
    <tableColumn id="13" name="Winner" dataDxfId="88">
      <calculatedColumnFormula>IF(GroupStages[[#This Row],[ScoreA]]=GroupStages[[#This Row],[ScoreB]], "", IF(GroupStages[[#This Row],[ScoreA]]&gt;GroupStages[[#This Row],[ScoreB]],GroupStages[[#This Row],[TeamA]], GroupStages[[#This Row],[TeamB]]))</calculatedColumnFormula>
    </tableColumn>
    <tableColumn id="14" name="Loser" dataDxfId="87">
      <calculatedColumnFormula>IF(GroupStages[[#This Row],[ScoreA]]=GroupStages[[#This Row],[ScoreB]], "", IF(GroupStages[[#This Row],[ScoreA]]&lt;GroupStages[[#This Row],[ScoreB]],GroupStages[[#This Row],[TeamA]], GroupStages[[#This Row],[TeamB]]))</calculatedColumnFormula>
    </tableColumn>
    <tableColumn id="11" name="Draw1" dataDxfId="86">
      <calculatedColumnFormula>IF(AND(NOT(ISBLANK(GroupStages[ScoreA])),GroupStages[[#This Row],[ScoreA]]=GroupStages[[#This Row],[ScoreB]]), GroupStages[TeamA],"")</calculatedColumnFormula>
    </tableColumn>
    <tableColumn id="12" name="Draw2" dataDxfId="85">
      <calculatedColumnFormula>IF(AND(NOT(ISBLANK(GroupStages[ScoreA])),GroupStages[[#This Row],[ScoreA]]=GroupStages[[#This Row],[ScoreB]]), GroupStages[TeamB],"")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0" name="GroupA" displayName="GroupA" ref="C5:L9" totalsRowShown="0">
  <autoFilter ref="C5:L9"/>
  <tableColumns count="10">
    <tableColumn id="10" name="Rank" dataDxfId="79">
      <calculatedColumnFormula>IF(AND(IF(GroupA[[#This Row],[GD]]=0,TRUE,FALSE),IF(GroupA[[#This Row],[Pts]]=0,TRUE,FALSE)),99,RANK(GroupA[[#This Row],[Tie Breaker]],GroupA[Tie Breaker]))</calculatedColumnFormula>
    </tableColumn>
    <tableColumn id="1" name="Country" dataDxfId="78"/>
    <tableColumn id="2" name="W" dataDxfId="77">
      <calculatedColumnFormula>COUNTIF(GroupStages[Winner],GroupA[[#This Row],[Country]])</calculatedColumnFormula>
    </tableColumn>
    <tableColumn id="3" name="D" dataDxfId="76">
      <calculatedColumnFormula>COUNTIF(GroupStages[Draw1],GroupA[[#This Row],[Country]])+COUNTIF(GroupStages[Draw2],GroupA[[#This Row],[Country]])</calculatedColumnFormula>
    </tableColumn>
    <tableColumn id="4" name="L" dataDxfId="75">
      <calculatedColumnFormula>COUNTIF(GroupStages[Loser],GroupA[[#This Row],[Country]])</calculatedColumnFormula>
    </tableColumn>
    <tableColumn id="5" name="GF" dataDxfId="74">
      <calculatedColumnFormula>SUMIF(GroupStages[TeamA],GroupA[[#This Row],[Country]],GroupStages[ScoreA])+SUMIF(GroupStages[TeamB],GroupA[[#This Row],[Country]],GroupStages[ScoreB])</calculatedColumnFormula>
    </tableColumn>
    <tableColumn id="6" name="GA" dataDxfId="73">
      <calculatedColumnFormula>SUMIF(GroupStages[TeamA],GroupA[[#This Row],[Country]],GroupStages[ScoreB])+SUMIF(GroupStages[TeamB],GroupA[[#This Row],[Country]],GroupStages[ScoreA])</calculatedColumnFormula>
    </tableColumn>
    <tableColumn id="8" name="GD" dataDxfId="72">
      <calculatedColumnFormula>GroupA[[#This Row],[GF]]-GroupA[[#This Row],[GA]]</calculatedColumnFormula>
    </tableColumn>
    <tableColumn id="7" name="Pts" dataDxfId="71">
      <calculatedColumnFormula>(GroupA[[#This Row],[W]]*3)+GroupA[[#This Row],[D]]</calculatedColumnFormula>
    </tableColumn>
    <tableColumn id="9" name="Tie Breaker" dataDxfId="70">
      <calculatedColumnFormula>GroupA[[#This Row],[Pts]]+(GroupA[[#This Row],[GD]]/100)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1" name="GroupB" displayName="GroupB" ref="C12:L16" totalsRowShown="0">
  <autoFilter ref="C12:L16"/>
  <tableColumns count="10">
    <tableColumn id="10" name="Rank" dataDxfId="69">
      <calculatedColumnFormula>IF(AND(IF(GroupB[[#This Row],[GD]]=0,TRUE,FALSE),IF(GroupB[[#This Row],[Pts]]=0,TRUE,FALSE)),99,RANK(GroupB[[#This Row],[Tie Breaker]],GroupB[Tie Breaker]))</calculatedColumnFormula>
    </tableColumn>
    <tableColumn id="1" name="Country" dataDxfId="68"/>
    <tableColumn id="2" name="W" dataDxfId="67">
      <calculatedColumnFormula>COUNTIF(GroupStages[Winner],GroupB[[#This Row],[Country]])</calculatedColumnFormula>
    </tableColumn>
    <tableColumn id="3" name="D" dataDxfId="66">
      <calculatedColumnFormula>COUNTIF(GroupStages[Draw1],GroupB[[#This Row],[Country]])+COUNTIF(GroupStages[Draw2],GroupB[[#This Row],[Country]])</calculatedColumnFormula>
    </tableColumn>
    <tableColumn id="4" name="L" dataDxfId="65">
      <calculatedColumnFormula>COUNTIF(GroupStages[Loser],GroupB[[#This Row],[Country]])</calculatedColumnFormula>
    </tableColumn>
    <tableColumn id="5" name="GF" dataDxfId="64">
      <calculatedColumnFormula>SUMIF(GroupStages[TeamA],GroupB[[#This Row],[Country]],GroupStages[ScoreA])+SUMIF(GroupStages[TeamB],GroupB[[#This Row],[Country]],GroupStages[ScoreB])</calculatedColumnFormula>
    </tableColumn>
    <tableColumn id="6" name="GA" dataDxfId="63">
      <calculatedColumnFormula>SUMIF(GroupStages[TeamA],GroupB[[#This Row],[Country]],GroupStages[ScoreB])+SUMIF(GroupStages[TeamB],GroupB[[#This Row],[Country]],GroupStages[ScoreA])</calculatedColumnFormula>
    </tableColumn>
    <tableColumn id="8" name="GD" dataDxfId="62">
      <calculatedColumnFormula>GroupB[[#This Row],[GF]]-GroupB[[#This Row],[GA]]</calculatedColumnFormula>
    </tableColumn>
    <tableColumn id="7" name="Pts" dataDxfId="61">
      <calculatedColumnFormula>(GroupB[[#This Row],[W]]*3)+GroupB[[#This Row],[D]]</calculatedColumnFormula>
    </tableColumn>
    <tableColumn id="9" name="Tie Breaker" dataDxfId="60">
      <calculatedColumnFormula>GroupB[[#This Row],[Pts]]+(GroupB[[#This Row],[GD]]/100)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52" name="GroupC" displayName="GroupC" ref="C19:L23" totalsRowShown="0">
  <autoFilter ref="C19:L23"/>
  <tableColumns count="10">
    <tableColumn id="10" name="Rank" dataDxfId="59">
      <calculatedColumnFormula>IF(AND(IF(GroupC[[#This Row],[GD]]=0,TRUE,FALSE),IF(GroupC[[#This Row],[Pts]]=0,TRUE,FALSE)),99,RANK(GroupC[[#This Row],[Tie Breaker]],GroupC[Tie Breaker]))</calculatedColumnFormula>
    </tableColumn>
    <tableColumn id="1" name="Country" dataDxfId="58"/>
    <tableColumn id="2" name="W" dataDxfId="57">
      <calculatedColumnFormula>COUNTIF(GroupStages[Winner],GroupC[[#This Row],[Country]])</calculatedColumnFormula>
    </tableColumn>
    <tableColumn id="3" name="D" dataDxfId="56">
      <calculatedColumnFormula>COUNTIF(GroupStages[Draw1],GroupC[[#This Row],[Country]])+COUNTIF(GroupStages[Draw2],GroupC[[#This Row],[Country]])</calculatedColumnFormula>
    </tableColumn>
    <tableColumn id="4" name="L" dataDxfId="55">
      <calculatedColumnFormula>COUNTIF(GroupStages[Loser],GroupC[[#This Row],[Country]])</calculatedColumnFormula>
    </tableColumn>
    <tableColumn id="5" name="GF" dataDxfId="54">
      <calculatedColumnFormula>SUMIF(GroupStages[TeamA],GroupC[[#This Row],[Country]],GroupStages[ScoreA])+SUMIF(GroupStages[TeamB],GroupC[[#This Row],[Country]],GroupStages[ScoreB])</calculatedColumnFormula>
    </tableColumn>
    <tableColumn id="6" name="GA" dataDxfId="53">
      <calculatedColumnFormula>SUMIF(GroupStages[TeamA],GroupC[[#This Row],[Country]],GroupStages[ScoreB])+SUMIF(GroupStages[TeamB],GroupC[[#This Row],[Country]],GroupStages[ScoreA])</calculatedColumnFormula>
    </tableColumn>
    <tableColumn id="8" name="GD" dataDxfId="52">
      <calculatedColumnFormula>GroupC[[#This Row],[GF]]-GroupC[[#This Row],[GA]]</calculatedColumnFormula>
    </tableColumn>
    <tableColumn id="7" name="Pts" dataDxfId="51">
      <calculatedColumnFormula>(GroupC[[#This Row],[W]]*3)+GroupC[[#This Row],[D]]</calculatedColumnFormula>
    </tableColumn>
    <tableColumn id="9" name="Tie Breaker" dataDxfId="50">
      <calculatedColumnFormula>GroupC[[#This Row],[Pts]]+(GroupC[[#This Row],[GD]]/100)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3" name="GroupD" displayName="GroupD" ref="C26:L30" totalsRowShown="0">
  <autoFilter ref="C26:L30"/>
  <tableColumns count="10">
    <tableColumn id="10" name="Rank" dataDxfId="49">
      <calculatedColumnFormula>IF(AND(IF(GroupD[[#This Row],[GD]]=0,TRUE,FALSE),IF(GroupD[[#This Row],[Pts]]=0,TRUE,FALSE)),99,RANK(GroupD[[#This Row],[Tie Breaker]],GroupD[Tie Breaker]))</calculatedColumnFormula>
    </tableColumn>
    <tableColumn id="1" name="Country" dataDxfId="48"/>
    <tableColumn id="2" name="W" dataDxfId="47">
      <calculatedColumnFormula>COUNTIF(GroupStages[Winner],GroupD[[#This Row],[Country]])</calculatedColumnFormula>
    </tableColumn>
    <tableColumn id="3" name="D" dataDxfId="46">
      <calculatedColumnFormula>COUNTIF(GroupStages[Draw1],GroupD[[#This Row],[Country]])+COUNTIF(GroupStages[Draw2],GroupD[[#This Row],[Country]])</calculatedColumnFormula>
    </tableColumn>
    <tableColumn id="4" name="L" dataDxfId="45">
      <calculatedColumnFormula>COUNTIF(GroupStages[Loser],GroupD[[#This Row],[Country]])</calculatedColumnFormula>
    </tableColumn>
    <tableColumn id="5" name="GF" dataDxfId="44">
      <calculatedColumnFormula>SUMIF(GroupStages[TeamA],GroupD[[#This Row],[Country]],GroupStages[ScoreA])+SUMIF(GroupStages[TeamB],GroupD[[#This Row],[Country]],GroupStages[ScoreB])</calculatedColumnFormula>
    </tableColumn>
    <tableColumn id="6" name="GA" dataDxfId="43">
      <calculatedColumnFormula>SUMIF(GroupStages[TeamA],GroupD[[#This Row],[Country]],GroupStages[ScoreB])+SUMIF(GroupStages[TeamB],GroupD[[#This Row],[Country]],GroupStages[ScoreA])</calculatedColumnFormula>
    </tableColumn>
    <tableColumn id="8" name="GD" dataDxfId="42">
      <calculatedColumnFormula>GroupD[[#This Row],[GF]]-GroupD[[#This Row],[GA]]</calculatedColumnFormula>
    </tableColumn>
    <tableColumn id="7" name="Pts" dataDxfId="41">
      <calculatedColumnFormula>(GroupD[[#This Row],[W]]*3)+GroupD[[#This Row],[D]]</calculatedColumnFormula>
    </tableColumn>
    <tableColumn id="9" name="Tie Breaker" dataDxfId="40">
      <calculatedColumnFormula>GroupD[[#This Row],[Pts]]+(GroupD[[#This Row],[GD]]/100)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54" name="GroupE" displayName="GroupE" ref="C33:L37" totalsRowShown="0">
  <autoFilter ref="C33:L37"/>
  <tableColumns count="10">
    <tableColumn id="10" name="Rank" dataDxfId="39">
      <calculatedColumnFormula>IF(AND(IF(GroupE[[#This Row],[GD]]=0,TRUE,FALSE),IF(GroupE[[#This Row],[Pts]]=0,TRUE,FALSE)),99,RANK(GroupE[[#This Row],[Tie Breaker]],GroupE[Tie Breaker]))</calculatedColumnFormula>
    </tableColumn>
    <tableColumn id="1" name="Country" dataDxfId="38"/>
    <tableColumn id="2" name="W" dataDxfId="37">
      <calculatedColumnFormula>COUNTIF(GroupStages[Winner],GroupE[[#This Row],[Country]])</calculatedColumnFormula>
    </tableColumn>
    <tableColumn id="3" name="D" dataDxfId="36">
      <calculatedColumnFormula>COUNTIF(GroupStages[Draw1],GroupE[[#This Row],[Country]])+COUNTIF(GroupStages[Draw2],GroupE[[#This Row],[Country]])</calculatedColumnFormula>
    </tableColumn>
    <tableColumn id="4" name="L" dataDxfId="35">
      <calculatedColumnFormula>COUNTIF(GroupStages[Loser],GroupE[[#This Row],[Country]])</calculatedColumnFormula>
    </tableColumn>
    <tableColumn id="5" name="GF" dataDxfId="34">
      <calculatedColumnFormula>SUMIF(GroupStages[TeamA],GroupE[[#This Row],[Country]],GroupStages[ScoreA])+SUMIF(GroupStages[TeamB],GroupE[[#This Row],[Country]],GroupStages[ScoreB])</calculatedColumnFormula>
    </tableColumn>
    <tableColumn id="6" name="GA" dataDxfId="33">
      <calculatedColumnFormula>SUMIF(GroupStages[TeamA],GroupE[[#This Row],[Country]],GroupStages[ScoreB])+SUMIF(GroupStages[TeamB],GroupE[[#This Row],[Country]],GroupStages[ScoreA])</calculatedColumnFormula>
    </tableColumn>
    <tableColumn id="8" name="GD" dataDxfId="32">
      <calculatedColumnFormula>GroupE[[#This Row],[GF]]-GroupE[[#This Row],[GA]]</calculatedColumnFormula>
    </tableColumn>
    <tableColumn id="7" name="Pts" dataDxfId="31">
      <calculatedColumnFormula>(GroupE[[#This Row],[W]]*3)+GroupE[[#This Row],[D]]</calculatedColumnFormula>
    </tableColumn>
    <tableColumn id="9" name="Tie Breaker" dataDxfId="30">
      <calculatedColumnFormula>GroupE[[#This Row],[Pts]]+(GroupE[[#This Row],[GD]]/100)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55" name="GroupF" displayName="GroupF" ref="C40:L44" totalsRowShown="0">
  <autoFilter ref="C40:L44"/>
  <tableColumns count="10">
    <tableColumn id="10" name="Rank" dataDxfId="29">
      <calculatedColumnFormula>IF(AND(IF(GroupF[[#This Row],[GD]]=0,TRUE,FALSE),IF(GroupF[[#This Row],[Pts]]=0,TRUE,FALSE)),99,RANK(GroupF[[#This Row],[Tie Breaker]],GroupF[Tie Breaker]))</calculatedColumnFormula>
    </tableColumn>
    <tableColumn id="1" name="Country" dataDxfId="28"/>
    <tableColumn id="2" name="W" dataDxfId="27">
      <calculatedColumnFormula>COUNTIF(GroupStages[Winner],GroupF[[#This Row],[Country]])</calculatedColumnFormula>
    </tableColumn>
    <tableColumn id="3" name="D" dataDxfId="26">
      <calculatedColumnFormula>COUNTIF(GroupStages[Draw1],GroupF[[#This Row],[Country]])+COUNTIF(GroupStages[Draw2],GroupF[[#This Row],[Country]])</calculatedColumnFormula>
    </tableColumn>
    <tableColumn id="4" name="L" dataDxfId="25">
      <calculatedColumnFormula>COUNTIF(GroupStages[Loser],GroupF[[#This Row],[Country]])</calculatedColumnFormula>
    </tableColumn>
    <tableColumn id="5" name="GF" dataDxfId="24">
      <calculatedColumnFormula>SUMIF(GroupStages[TeamA],GroupF[[#This Row],[Country]],GroupStages[ScoreA])+SUMIF(GroupStages[TeamB],GroupF[[#This Row],[Country]],GroupStages[ScoreB])</calculatedColumnFormula>
    </tableColumn>
    <tableColumn id="6" name="GA" dataDxfId="23">
      <calculatedColumnFormula>SUMIF(GroupStages[TeamA],GroupF[[#This Row],[Country]],GroupStages[ScoreB])+SUMIF(GroupStages[TeamB],GroupF[[#This Row],[Country]],GroupStages[ScoreA])</calculatedColumnFormula>
    </tableColumn>
    <tableColumn id="8" name="GD" dataDxfId="22">
      <calculatedColumnFormula>GroupF[[#This Row],[GF]]-GroupF[[#This Row],[GA]]</calculatedColumnFormula>
    </tableColumn>
    <tableColumn id="7" name="Pts" dataDxfId="21">
      <calculatedColumnFormula>(GroupF[[#This Row],[W]]*3)+GroupF[[#This Row],[D]]</calculatedColumnFormula>
    </tableColumn>
    <tableColumn id="9" name="Tie Breaker" dataDxfId="20">
      <calculatedColumnFormula>GroupF[[#This Row],[Pts]]+(GroupF[[#This Row],[GD]]/100)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25" name="GroupG" displayName="GroupG" ref="C47:L51" totalsRowShown="0">
  <autoFilter ref="C47:L51"/>
  <tableColumns count="10">
    <tableColumn id="10" name="Rank" dataDxfId="19">
      <calculatedColumnFormula>IF(AND(IF(GroupG[[#This Row],[GD]]=0,TRUE,FALSE),IF(GroupG[[#This Row],[Pts]]=0,TRUE,FALSE)),99,RANK(GroupG[[#This Row],[Tie Breaker]],GroupG[Tie Breaker]))</calculatedColumnFormula>
    </tableColumn>
    <tableColumn id="1" name="Country" dataDxfId="18"/>
    <tableColumn id="2" name="W" dataDxfId="17">
      <calculatedColumnFormula>COUNTIF(GroupStages[Winner],GroupG[[#This Row],[Country]])</calculatedColumnFormula>
    </tableColumn>
    <tableColumn id="3" name="D" dataDxfId="16">
      <calculatedColumnFormula>COUNTIF(GroupStages[Draw1],GroupG[[#This Row],[Country]])+COUNTIF(GroupStages[Draw2],GroupG[[#This Row],[Country]])</calculatedColumnFormula>
    </tableColumn>
    <tableColumn id="4" name="L" dataDxfId="15">
      <calculatedColumnFormula>COUNTIF(GroupStages[Loser],GroupG[[#This Row],[Country]])</calculatedColumnFormula>
    </tableColumn>
    <tableColumn id="5" name="GF" dataDxfId="14">
      <calculatedColumnFormula>SUMIF(GroupStages[TeamA],GroupG[[#This Row],[Country]],GroupStages[ScoreA])+SUMIF(GroupStages[TeamB],GroupG[[#This Row],[Country]],GroupStages[ScoreB])</calculatedColumnFormula>
    </tableColumn>
    <tableColumn id="6" name="GA" dataDxfId="13">
      <calculatedColumnFormula>SUMIF(GroupStages[TeamA],GroupG[[#This Row],[Country]],GroupStages[ScoreB])+SUMIF(GroupStages[TeamB],GroupG[[#This Row],[Country]],GroupStages[ScoreA])</calculatedColumnFormula>
    </tableColumn>
    <tableColumn id="8" name="GD" dataDxfId="12">
      <calculatedColumnFormula>GroupG[[#This Row],[GF]]-GroupG[[#This Row],[GA]]</calculatedColumnFormula>
    </tableColumn>
    <tableColumn id="7" name="Pts" dataDxfId="11">
      <calculatedColumnFormula>(GroupG[[#This Row],[W]]*3)+GroupG[[#This Row],[D]]</calculatedColumnFormula>
    </tableColumn>
    <tableColumn id="9" name="Tie Breaker" dataDxfId="10">
      <calculatedColumnFormula>GroupG[[#This Row],[Pts]]+(GroupG[[#This Row],[GD]]/100)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28" name="GroupH" displayName="GroupH" ref="C54:L58" totalsRowShown="0">
  <autoFilter ref="C54:L58"/>
  <tableColumns count="10">
    <tableColumn id="10" name="Rank" dataDxfId="9">
      <calculatedColumnFormula>IF(AND(IF(GroupH[[#This Row],[GD]]=0,TRUE,FALSE),IF(GroupH[[#This Row],[Pts]]=0,TRUE,FALSE)),99,RANK(GroupH[[#This Row],[Tie Breaker]],GroupH[Tie Breaker]))</calculatedColumnFormula>
    </tableColumn>
    <tableColumn id="1" name="Country" dataDxfId="8"/>
    <tableColumn id="2" name="W" dataDxfId="7">
      <calculatedColumnFormula>COUNTIF(GroupStages[Winner],GroupH[[#This Row],[Country]])</calculatedColumnFormula>
    </tableColumn>
    <tableColumn id="3" name="D" dataDxfId="6">
      <calculatedColumnFormula>COUNTIF(GroupStages[Draw1],GroupH[[#This Row],[Country]])+COUNTIF(GroupStages[Draw2],GroupH[[#This Row],[Country]])</calculatedColumnFormula>
    </tableColumn>
    <tableColumn id="4" name="L" dataDxfId="5">
      <calculatedColumnFormula>COUNTIF(GroupStages[Loser],GroupH[[#This Row],[Country]])</calculatedColumnFormula>
    </tableColumn>
    <tableColumn id="5" name="GF" dataDxfId="4">
      <calculatedColumnFormula>SUMIF(GroupStages[TeamA],GroupH[[#This Row],[Country]],GroupStages[ScoreA])+SUMIF(GroupStages[TeamB],GroupH[[#This Row],[Country]],GroupStages[ScoreB])</calculatedColumnFormula>
    </tableColumn>
    <tableColumn id="6" name="GA" dataDxfId="3">
      <calculatedColumnFormula>SUMIF(GroupStages[TeamA],GroupH[[#This Row],[Country]],GroupStages[ScoreB])+SUMIF(GroupStages[TeamB],GroupH[[#This Row],[Country]],GroupStages[ScoreA])</calculatedColumnFormula>
    </tableColumn>
    <tableColumn id="8" name="GD" dataDxfId="2">
      <calculatedColumnFormula>GroupH[[#This Row],[GF]]-GroupH[[#This Row],[GA]]</calculatedColumnFormula>
    </tableColumn>
    <tableColumn id="7" name="Pts" dataDxfId="1">
      <calculatedColumnFormula>(GroupH[[#This Row],[W]]*3)+GroupH[[#This Row],[D]]</calculatedColumnFormula>
    </tableColumn>
    <tableColumn id="9" name="Tie Breaker" dataDxfId="0">
      <calculatedColumnFormula>GroupH[[#This Row],[Pts]]+(GroupH[[#This Row],[GD]]/100)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logs.msdn.com/Excel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X71"/>
  <sheetViews>
    <sheetView showGridLines="0" tabSelected="1" zoomScale="70" zoomScaleNormal="70" workbookViewId="0">
      <selection activeCell="B7" sqref="B7:F7"/>
    </sheetView>
  </sheetViews>
  <sheetFormatPr defaultRowHeight="15" x14ac:dyDescent="0.25"/>
  <cols>
    <col min="2" max="2" width="15" customWidth="1"/>
    <col min="3" max="3" width="13.5703125" style="2" bestFit="1" customWidth="1"/>
    <col min="4" max="4" width="13.140625" bestFit="1" customWidth="1"/>
    <col min="5" max="5" width="14.85546875" bestFit="1" customWidth="1"/>
    <col min="6" max="6" width="31.7109375" style="3" bestFit="1" customWidth="1"/>
    <col min="7" max="7" width="15.85546875" bestFit="1" customWidth="1"/>
    <col min="8" max="8" width="15.42578125" style="3" bestFit="1" customWidth="1"/>
    <col min="9" max="9" width="15.42578125" customWidth="1"/>
    <col min="10" max="10" width="16" bestFit="1" customWidth="1"/>
    <col min="11" max="13" width="14.42578125" hidden="1" customWidth="1"/>
    <col min="14" max="14" width="12" hidden="1" customWidth="1"/>
    <col min="15" max="15" width="12" style="2" customWidth="1"/>
    <col min="16" max="16" width="1.85546875" style="2" customWidth="1"/>
    <col min="18" max="18" width="13.85546875" bestFit="1" customWidth="1"/>
    <col min="19" max="19" width="22.7109375" bestFit="1" customWidth="1"/>
    <col min="20" max="20" width="18.85546875" customWidth="1"/>
  </cols>
  <sheetData>
    <row r="2" spans="1:24" ht="14.45" x14ac:dyDescent="0.3">
      <c r="B2" s="2"/>
      <c r="C2"/>
      <c r="E2" s="3"/>
      <c r="F2"/>
      <c r="G2" s="3"/>
      <c r="H2"/>
    </row>
    <row r="3" spans="1:24" ht="14.45" x14ac:dyDescent="0.3">
      <c r="B3" s="2"/>
      <c r="C3"/>
      <c r="E3" s="3"/>
      <c r="F3"/>
      <c r="G3" s="3"/>
      <c r="H3"/>
    </row>
    <row r="4" spans="1:24" s="2" customFormat="1" ht="14.45" x14ac:dyDescent="0.3">
      <c r="A4"/>
      <c r="C4"/>
      <c r="D4"/>
      <c r="E4" s="3"/>
      <c r="F4"/>
      <c r="G4" s="3"/>
      <c r="H4"/>
      <c r="I4"/>
      <c r="J4"/>
      <c r="K4"/>
      <c r="L4"/>
      <c r="M4"/>
      <c r="N4"/>
      <c r="P4" s="74"/>
      <c r="Q4"/>
      <c r="R4"/>
      <c r="S4"/>
      <c r="T4"/>
      <c r="U4"/>
      <c r="V4"/>
      <c r="W4"/>
      <c r="X4"/>
    </row>
    <row r="5" spans="1:24" ht="14.45" x14ac:dyDescent="0.3">
      <c r="A5" s="2"/>
      <c r="B5" s="2"/>
      <c r="D5" s="2"/>
      <c r="E5" s="3"/>
      <c r="F5" s="2"/>
      <c r="G5" s="3"/>
      <c r="H5" s="2"/>
      <c r="I5" s="2"/>
      <c r="J5" s="2"/>
      <c r="K5" s="2"/>
      <c r="L5" s="2"/>
      <c r="M5" s="2"/>
      <c r="N5" s="2"/>
      <c r="P5" s="74"/>
      <c r="Q5" s="2"/>
      <c r="R5" s="2"/>
      <c r="U5" s="2"/>
      <c r="V5" s="2"/>
      <c r="W5" s="2"/>
      <c r="X5" s="2"/>
    </row>
    <row r="6" spans="1:24" ht="14.45" x14ac:dyDescent="0.3">
      <c r="B6" s="2"/>
      <c r="C6"/>
      <c r="E6" s="3"/>
      <c r="F6"/>
      <c r="G6" s="3"/>
      <c r="H6"/>
      <c r="P6" s="74"/>
    </row>
    <row r="7" spans="1:24" ht="23.25" x14ac:dyDescent="0.35">
      <c r="B7" s="77"/>
      <c r="C7" s="77"/>
      <c r="D7" s="77"/>
      <c r="E7" s="77"/>
      <c r="F7" s="77"/>
      <c r="G7" s="78" t="s">
        <v>118</v>
      </c>
      <c r="H7" s="79"/>
      <c r="I7" s="75"/>
      <c r="P7" s="74"/>
    </row>
    <row r="8" spans="1:24" ht="14.45" x14ac:dyDescent="0.3">
      <c r="B8" s="2"/>
      <c r="C8"/>
      <c r="E8" s="3"/>
      <c r="F8"/>
      <c r="G8" s="3"/>
      <c r="H8"/>
      <c r="P8" s="74"/>
    </row>
    <row r="9" spans="1:24" ht="20.45" x14ac:dyDescent="0.35">
      <c r="B9" s="73"/>
      <c r="C9"/>
      <c r="E9" s="3"/>
      <c r="F9"/>
      <c r="G9" s="3"/>
      <c r="H9"/>
      <c r="P9" s="74"/>
    </row>
    <row r="10" spans="1:24" ht="18" x14ac:dyDescent="0.35">
      <c r="B10" s="10" t="s">
        <v>40</v>
      </c>
      <c r="C10" s="10" t="s">
        <v>87</v>
      </c>
      <c r="D10" s="10" t="s">
        <v>96</v>
      </c>
      <c r="E10" s="10" t="s">
        <v>64</v>
      </c>
      <c r="F10" s="10" t="s">
        <v>41</v>
      </c>
      <c r="G10" s="11" t="s">
        <v>60</v>
      </c>
      <c r="H10" s="11" t="s">
        <v>62</v>
      </c>
      <c r="I10" s="11" t="s">
        <v>63</v>
      </c>
      <c r="J10" s="11" t="s">
        <v>61</v>
      </c>
      <c r="K10" s="4" t="s">
        <v>88</v>
      </c>
      <c r="L10" s="4" t="s">
        <v>89</v>
      </c>
      <c r="M10" s="4" t="s">
        <v>90</v>
      </c>
      <c r="N10" s="4" t="s">
        <v>91</v>
      </c>
      <c r="P10" s="74"/>
    </row>
    <row r="11" spans="1:24" ht="14.45" x14ac:dyDescent="0.3">
      <c r="B11" s="9">
        <v>1</v>
      </c>
      <c r="C11" s="9" t="s">
        <v>72</v>
      </c>
      <c r="D11" s="68">
        <v>0.29166666666666669</v>
      </c>
      <c r="E11" s="8" t="s">
        <v>65</v>
      </c>
      <c r="F11" s="7" t="s">
        <v>42</v>
      </c>
      <c r="G11" s="9" t="s">
        <v>29</v>
      </c>
      <c r="H11" s="30"/>
      <c r="I11" s="30"/>
      <c r="J11" s="9" t="s">
        <v>16</v>
      </c>
      <c r="K11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11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11" s="4" t="str">
        <f>IF(AND(NOT(ISBLANK(GroupStages[ScoreA])),GroupStages[[#This Row],[ScoreA]]=GroupStages[[#This Row],[ScoreB]]), GroupStages[TeamA],"")</f>
        <v/>
      </c>
      <c r="N11" s="4" t="str">
        <f>IF(AND(NOT(ISBLANK(GroupStages[ScoreA])),GroupStages[[#This Row],[ScoreA]]=GroupStages[[#This Row],[ScoreB]]), GroupStages[TeamB],"")</f>
        <v/>
      </c>
      <c r="P11" s="74"/>
    </row>
    <row r="12" spans="1:24" ht="14.45" x14ac:dyDescent="0.3">
      <c r="B12" s="9">
        <v>2</v>
      </c>
      <c r="C12" s="9" t="s">
        <v>72</v>
      </c>
      <c r="D12" s="68">
        <v>0.47916666666666669</v>
      </c>
      <c r="E12" s="8" t="s">
        <v>65</v>
      </c>
      <c r="F12" s="7" t="s">
        <v>43</v>
      </c>
      <c r="G12" s="9" t="s">
        <v>15</v>
      </c>
      <c r="H12" s="30"/>
      <c r="I12" s="30"/>
      <c r="J12" s="9" t="s">
        <v>10</v>
      </c>
      <c r="K12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12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12" s="4" t="str">
        <f>IF(AND(NOT(ISBLANK(GroupStages[ScoreA])),GroupStages[[#This Row],[ScoreA]]=GroupStages[[#This Row],[ScoreB]]), GroupStages[TeamA],"")</f>
        <v/>
      </c>
      <c r="N12" s="4" t="str">
        <f>IF(AND(NOT(ISBLANK(GroupStages[ScoreA])),GroupStages[[#This Row],[ScoreA]]=GroupStages[[#This Row],[ScoreB]]), GroupStages[TeamB],"")</f>
        <v/>
      </c>
      <c r="P12" s="74"/>
    </row>
    <row r="13" spans="1:24" ht="14.45" x14ac:dyDescent="0.3">
      <c r="B13" s="9">
        <v>3</v>
      </c>
      <c r="C13" s="9" t="s">
        <v>73</v>
      </c>
      <c r="D13" s="68">
        <v>0.29166666666666669</v>
      </c>
      <c r="E13" s="8" t="s">
        <v>66</v>
      </c>
      <c r="F13" s="7" t="s">
        <v>49</v>
      </c>
      <c r="G13" s="9" t="s">
        <v>9</v>
      </c>
      <c r="H13" s="30"/>
      <c r="I13" s="30"/>
      <c r="J13" s="9" t="s">
        <v>25</v>
      </c>
      <c r="K13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13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13" s="4" t="str">
        <f>IF(AND(NOT(ISBLANK(GroupStages[ScoreA])),GroupStages[[#This Row],[ScoreA]]=GroupStages[[#This Row],[ScoreB]]), GroupStages[TeamA],"")</f>
        <v/>
      </c>
      <c r="N13" s="4" t="str">
        <f>IF(AND(NOT(ISBLANK(GroupStages[ScoreA])),GroupStages[[#This Row],[ScoreA]]=GroupStages[[#This Row],[ScoreB]]), GroupStages[TeamB],"")</f>
        <v/>
      </c>
      <c r="P13" s="74"/>
    </row>
    <row r="14" spans="1:24" ht="14.45" x14ac:dyDescent="0.3">
      <c r="B14" s="9">
        <v>4</v>
      </c>
      <c r="C14" s="9" t="s">
        <v>73</v>
      </c>
      <c r="D14" s="68">
        <v>0.1875</v>
      </c>
      <c r="E14" s="8" t="s">
        <v>66</v>
      </c>
      <c r="F14" s="7" t="s">
        <v>50</v>
      </c>
      <c r="G14" s="9" t="s">
        <v>24</v>
      </c>
      <c r="H14" s="30"/>
      <c r="I14" s="30"/>
      <c r="J14" s="9" t="s">
        <v>35</v>
      </c>
      <c r="K14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14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14" s="4" t="str">
        <f>IF(AND(NOT(ISBLANK(GroupStages[ScoreA])),GroupStages[[#This Row],[ScoreA]]=GroupStages[[#This Row],[ScoreB]]), GroupStages[TeamA],"")</f>
        <v/>
      </c>
      <c r="N14" s="4" t="str">
        <f>IF(AND(NOT(ISBLANK(GroupStages[ScoreA])),GroupStages[[#This Row],[ScoreA]]=GroupStages[[#This Row],[ScoreB]]), GroupStages[TeamB],"")</f>
        <v/>
      </c>
      <c r="P14" s="74"/>
    </row>
    <row r="15" spans="1:24" ht="14.45" x14ac:dyDescent="0.3">
      <c r="B15" s="9">
        <v>5</v>
      </c>
      <c r="C15" s="9" t="s">
        <v>73</v>
      </c>
      <c r="D15" s="68">
        <v>0.47916666666666669</v>
      </c>
      <c r="E15" s="8" t="s">
        <v>67</v>
      </c>
      <c r="F15" s="7" t="s">
        <v>46</v>
      </c>
      <c r="G15" s="9" t="s">
        <v>11</v>
      </c>
      <c r="H15" s="30"/>
      <c r="I15" s="6"/>
      <c r="J15" s="9" t="s">
        <v>23</v>
      </c>
      <c r="K15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15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15" s="4" t="str">
        <f>IF(AND(NOT(ISBLANK(GroupStages[ScoreA])),GroupStages[[#This Row],[ScoreA]]=GroupStages[[#This Row],[ScoreB]]), GroupStages[TeamA],"")</f>
        <v/>
      </c>
      <c r="N15" s="4" t="str">
        <f>IF(AND(NOT(ISBLANK(GroupStages[ScoreA])),GroupStages[[#This Row],[ScoreA]]=GroupStages[[#This Row],[ScoreB]]), GroupStages[TeamB],"")</f>
        <v/>
      </c>
      <c r="P15" s="74"/>
    </row>
    <row r="16" spans="1:24" ht="14.45" x14ac:dyDescent="0.3">
      <c r="B16" s="9">
        <v>6</v>
      </c>
      <c r="C16" s="9" t="s">
        <v>74</v>
      </c>
      <c r="D16" s="68">
        <v>0.1875</v>
      </c>
      <c r="E16" s="8" t="s">
        <v>67</v>
      </c>
      <c r="F16" s="7" t="s">
        <v>45</v>
      </c>
      <c r="G16" s="9" t="s">
        <v>27</v>
      </c>
      <c r="H16" s="30"/>
      <c r="I16" s="6"/>
      <c r="J16" s="9" t="s">
        <v>33</v>
      </c>
      <c r="K16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16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16" s="4" t="str">
        <f>IF(AND(NOT(ISBLANK(GroupStages[ScoreA])),GroupStages[[#This Row],[ScoreA]]=GroupStages[[#This Row],[ScoreB]]), GroupStages[TeamA],"")</f>
        <v/>
      </c>
      <c r="N16" s="4" t="str">
        <f>IF(AND(NOT(ISBLANK(GroupStages[ScoreA])),GroupStages[[#This Row],[ScoreA]]=GroupStages[[#This Row],[ScoreB]]), GroupStages[TeamB],"")</f>
        <v/>
      </c>
      <c r="P16" s="74"/>
    </row>
    <row r="17" spans="2:18" ht="14.45" x14ac:dyDescent="0.3">
      <c r="B17" s="9">
        <v>7</v>
      </c>
      <c r="C17" s="9" t="s">
        <v>74</v>
      </c>
      <c r="D17" s="68">
        <v>0.47916666666666669</v>
      </c>
      <c r="E17" s="8" t="s">
        <v>1</v>
      </c>
      <c r="F17" s="7" t="s">
        <v>51</v>
      </c>
      <c r="G17" s="9" t="s">
        <v>7</v>
      </c>
      <c r="H17" s="30"/>
      <c r="I17" s="6"/>
      <c r="J17" s="9" t="s">
        <v>30</v>
      </c>
      <c r="K17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17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17" s="4" t="str">
        <f>IF(AND(NOT(ISBLANK(GroupStages[ScoreA])),GroupStages[[#This Row],[ScoreA]]=GroupStages[[#This Row],[ScoreB]]), GroupStages[TeamA],"")</f>
        <v/>
      </c>
      <c r="N17" s="4" t="str">
        <f>IF(AND(NOT(ISBLANK(GroupStages[ScoreA])),GroupStages[[#This Row],[ScoreA]]=GroupStages[[#This Row],[ScoreB]]), GroupStages[TeamB],"")</f>
        <v/>
      </c>
      <c r="P17" s="74"/>
      <c r="R17" s="12"/>
    </row>
    <row r="18" spans="2:18" ht="14.45" x14ac:dyDescent="0.3">
      <c r="B18" s="9">
        <v>8</v>
      </c>
      <c r="C18" s="9" t="s">
        <v>74</v>
      </c>
      <c r="D18" s="68">
        <v>0.29166666666666669</v>
      </c>
      <c r="E18" s="8" t="s">
        <v>1</v>
      </c>
      <c r="F18" s="7" t="s">
        <v>53</v>
      </c>
      <c r="G18" s="9" t="s">
        <v>14</v>
      </c>
      <c r="H18" s="30"/>
      <c r="I18" s="6"/>
      <c r="J18" s="9" t="s">
        <v>28</v>
      </c>
      <c r="K18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18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18" s="4" t="str">
        <f>IF(AND(NOT(ISBLANK(GroupStages[ScoreA])),GroupStages[[#This Row],[ScoreA]]=GroupStages[[#This Row],[ScoreB]]), GroupStages[TeamA],"")</f>
        <v/>
      </c>
      <c r="N18" s="4" t="str">
        <f>IF(AND(NOT(ISBLANK(GroupStages[ScoreA])),GroupStages[[#This Row],[ScoreA]]=GroupStages[[#This Row],[ScoreB]]), GroupStages[TeamB],"")</f>
        <v/>
      </c>
      <c r="P18" s="74"/>
    </row>
    <row r="19" spans="2:18" ht="14.45" x14ac:dyDescent="0.3">
      <c r="B19" s="9">
        <v>9</v>
      </c>
      <c r="C19" s="9" t="s">
        <v>75</v>
      </c>
      <c r="D19" s="68">
        <v>0.1875</v>
      </c>
      <c r="E19" s="8" t="s">
        <v>68</v>
      </c>
      <c r="F19" s="7" t="s">
        <v>42</v>
      </c>
      <c r="G19" s="9" t="s">
        <v>13</v>
      </c>
      <c r="H19" s="30"/>
      <c r="I19" s="6"/>
      <c r="J19" s="9" t="s">
        <v>22</v>
      </c>
      <c r="K19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19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19" s="4" t="str">
        <f>IF(AND(NOT(ISBLANK(GroupStages[ScoreA])),GroupStages[[#This Row],[ScoreA]]=GroupStages[[#This Row],[ScoreB]]), GroupStages[TeamA],"")</f>
        <v/>
      </c>
      <c r="N19" s="4" t="str">
        <f>IF(AND(NOT(ISBLANK(GroupStages[ScoreA])),GroupStages[[#This Row],[ScoreA]]=GroupStages[[#This Row],[ScoreB]]), GroupStages[TeamB],"")</f>
        <v/>
      </c>
      <c r="P19" s="74"/>
    </row>
    <row r="20" spans="2:18" ht="14.45" x14ac:dyDescent="0.3">
      <c r="B20" s="9">
        <v>10</v>
      </c>
      <c r="C20" s="9" t="s">
        <v>75</v>
      </c>
      <c r="D20" s="68">
        <v>0.29166666666666669</v>
      </c>
      <c r="E20" s="8" t="s">
        <v>68</v>
      </c>
      <c r="F20" s="7" t="s">
        <v>47</v>
      </c>
      <c r="G20" s="9" t="s">
        <v>26</v>
      </c>
      <c r="H20" s="30"/>
      <c r="I20" s="6"/>
      <c r="J20" s="9" t="s">
        <v>38</v>
      </c>
      <c r="K20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20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20" s="4" t="str">
        <f>IF(AND(NOT(ISBLANK(GroupStages[ScoreA])),GroupStages[[#This Row],[ScoreA]]=GroupStages[[#This Row],[ScoreB]]), GroupStages[TeamA],"")</f>
        <v/>
      </c>
      <c r="N20" s="4" t="str">
        <f>IF(AND(NOT(ISBLANK(GroupStages[ScoreA])),GroupStages[[#This Row],[ScoreA]]=GroupStages[[#This Row],[ScoreB]]), GroupStages[TeamB],"")</f>
        <v/>
      </c>
      <c r="P20" s="74"/>
    </row>
    <row r="21" spans="2:18" ht="14.45" x14ac:dyDescent="0.3">
      <c r="B21" s="9">
        <v>11</v>
      </c>
      <c r="C21" s="9" t="s">
        <v>75</v>
      </c>
      <c r="D21" s="68">
        <v>0.47916666666666669</v>
      </c>
      <c r="E21" s="8" t="s">
        <v>69</v>
      </c>
      <c r="F21" s="7" t="s">
        <v>43</v>
      </c>
      <c r="G21" s="9" t="s">
        <v>8</v>
      </c>
      <c r="H21" s="30"/>
      <c r="I21" s="6"/>
      <c r="J21" s="9" t="s">
        <v>21</v>
      </c>
      <c r="K21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21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21" s="4" t="str">
        <f>IF(AND(NOT(ISBLANK(GroupStages[ScoreA])),GroupStages[[#This Row],[ScoreA]]=GroupStages[[#This Row],[ScoreB]]), GroupStages[TeamA],"")</f>
        <v/>
      </c>
      <c r="N21" s="4" t="str">
        <f>IF(AND(NOT(ISBLANK(GroupStages[ScoreA])),GroupStages[[#This Row],[ScoreA]]=GroupStages[[#This Row],[ScoreB]]), GroupStages[TeamB],"")</f>
        <v/>
      </c>
      <c r="P21" s="74"/>
    </row>
    <row r="22" spans="2:18" ht="14.45" x14ac:dyDescent="0.3">
      <c r="B22" s="9">
        <v>12</v>
      </c>
      <c r="C22" s="9" t="s">
        <v>76</v>
      </c>
      <c r="D22" s="68">
        <v>0.16666666666666666</v>
      </c>
      <c r="E22" s="8" t="s">
        <v>69</v>
      </c>
      <c r="F22" s="7" t="s">
        <v>46</v>
      </c>
      <c r="G22" s="9" t="s">
        <v>34</v>
      </c>
      <c r="H22" s="30"/>
      <c r="I22" s="6"/>
      <c r="J22" s="9" t="s">
        <v>17</v>
      </c>
      <c r="K22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22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22" s="4" t="str">
        <f>IF(AND(NOT(ISBLANK(GroupStages[ScoreA])),GroupStages[[#This Row],[ScoreA]]=GroupStages[[#This Row],[ScoreB]]), GroupStages[TeamA],"")</f>
        <v/>
      </c>
      <c r="N22" s="4" t="str">
        <f>IF(AND(NOT(ISBLANK(GroupStages[ScoreA])),GroupStages[[#This Row],[ScoreA]]=GroupStages[[#This Row],[ScoreB]]), GroupStages[TeamB],"")</f>
        <v/>
      </c>
      <c r="P22" s="74"/>
    </row>
    <row r="23" spans="2:18" ht="14.45" x14ac:dyDescent="0.3">
      <c r="B23" s="9">
        <v>13</v>
      </c>
      <c r="C23" s="9" t="s">
        <v>76</v>
      </c>
      <c r="D23" s="68">
        <v>0.29166666666666669</v>
      </c>
      <c r="E23" s="8" t="s">
        <v>70</v>
      </c>
      <c r="F23" s="7" t="s">
        <v>50</v>
      </c>
      <c r="G23" s="9" t="s">
        <v>59</v>
      </c>
      <c r="H23" s="30"/>
      <c r="I23" s="6"/>
      <c r="J23" s="9" t="s">
        <v>18</v>
      </c>
      <c r="K23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23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23" s="4" t="str">
        <f>IF(AND(NOT(ISBLANK(GroupStages[ScoreA])),GroupStages[[#This Row],[ScoreA]]=GroupStages[[#This Row],[ScoreB]]), GroupStages[TeamA],"")</f>
        <v/>
      </c>
      <c r="N23" s="4" t="str">
        <f>IF(AND(NOT(ISBLANK(GroupStages[ScoreA])),GroupStages[[#This Row],[ScoreA]]=GroupStages[[#This Row],[ScoreB]]), GroupStages[TeamB],"")</f>
        <v/>
      </c>
      <c r="P23" s="74"/>
    </row>
    <row r="24" spans="2:18" ht="14.45" x14ac:dyDescent="0.3">
      <c r="B24" s="9">
        <v>14</v>
      </c>
      <c r="C24" s="9" t="s">
        <v>76</v>
      </c>
      <c r="D24" s="68">
        <v>0.47916666666666669</v>
      </c>
      <c r="E24" s="8" t="s">
        <v>70</v>
      </c>
      <c r="F24" s="7" t="s">
        <v>49</v>
      </c>
      <c r="G24" s="9" t="s">
        <v>6</v>
      </c>
      <c r="H24" s="30"/>
      <c r="I24" s="6"/>
      <c r="J24" s="9" t="s">
        <v>31</v>
      </c>
      <c r="K24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24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24" s="4" t="str">
        <f>IF(AND(NOT(ISBLANK(GroupStages[ScoreA])),GroupStages[[#This Row],[ScoreA]]=GroupStages[[#This Row],[ScoreB]]), GroupStages[TeamA],"")</f>
        <v/>
      </c>
      <c r="N24" s="4" t="str">
        <f>IF(AND(NOT(ISBLANK(GroupStages[ScoreA])),GroupStages[[#This Row],[ScoreA]]=GroupStages[[#This Row],[ScoreB]]), GroupStages[TeamB],"")</f>
        <v/>
      </c>
      <c r="P24" s="74"/>
    </row>
    <row r="25" spans="2:18" ht="14.45" x14ac:dyDescent="0.3">
      <c r="B25" s="9">
        <v>17</v>
      </c>
      <c r="C25" s="9" t="s">
        <v>77</v>
      </c>
      <c r="D25" s="68">
        <v>0.47916666666666669</v>
      </c>
      <c r="E25" s="8" t="s">
        <v>65</v>
      </c>
      <c r="F25" s="7" t="s">
        <v>44</v>
      </c>
      <c r="G25" s="9" t="s">
        <v>29</v>
      </c>
      <c r="H25" s="30"/>
      <c r="I25" s="6"/>
      <c r="J25" s="9" t="s">
        <v>15</v>
      </c>
      <c r="K25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25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25" s="4" t="str">
        <f>IF(AND(NOT(ISBLANK(GroupStages[ScoreA])),GroupStages[[#This Row],[ScoreA]]=GroupStages[[#This Row],[ScoreB]]), GroupStages[TeamA],"")</f>
        <v/>
      </c>
      <c r="N25" s="4" t="str">
        <f>IF(AND(NOT(ISBLANK(GroupStages[ScoreA])),GroupStages[[#This Row],[ScoreA]]=GroupStages[[#This Row],[ScoreB]]), GroupStages[TeamB],"")</f>
        <v/>
      </c>
      <c r="P25" s="74"/>
    </row>
    <row r="26" spans="2:18" ht="14.45" x14ac:dyDescent="0.3">
      <c r="B26" s="9">
        <v>15</v>
      </c>
      <c r="C26" s="9" t="s">
        <v>77</v>
      </c>
      <c r="D26" s="68">
        <v>0.29166666666666669</v>
      </c>
      <c r="E26" s="8" t="s">
        <v>71</v>
      </c>
      <c r="F26" s="7" t="s">
        <v>50</v>
      </c>
      <c r="G26" s="9" t="s">
        <v>32</v>
      </c>
      <c r="H26" s="30"/>
      <c r="I26" s="6"/>
      <c r="J26" s="9" t="s">
        <v>20</v>
      </c>
      <c r="K26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26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26" s="4" t="str">
        <f>IF(AND(NOT(ISBLANK(GroupStages[ScoreA])),GroupStages[[#This Row],[ScoreA]]=GroupStages[[#This Row],[ScoreB]]), GroupStages[TeamA],"")</f>
        <v/>
      </c>
      <c r="N26" s="4" t="str">
        <f>IF(AND(NOT(ISBLANK(GroupStages[ScoreA])),GroupStages[[#This Row],[ScoreA]]=GroupStages[[#This Row],[ScoreB]]), GroupStages[TeamB],"")</f>
        <v/>
      </c>
      <c r="P26" s="74"/>
    </row>
    <row r="27" spans="2:18" ht="14.45" x14ac:dyDescent="0.3">
      <c r="B27" s="9">
        <v>16</v>
      </c>
      <c r="C27" s="9" t="s">
        <v>77</v>
      </c>
      <c r="D27" s="68">
        <v>0.47916666666666669</v>
      </c>
      <c r="E27" s="8" t="s">
        <v>71</v>
      </c>
      <c r="F27" s="7" t="s">
        <v>49</v>
      </c>
      <c r="G27" s="9" t="s">
        <v>12</v>
      </c>
      <c r="H27" s="30"/>
      <c r="I27" s="6"/>
      <c r="J27" s="9" t="s">
        <v>19</v>
      </c>
      <c r="K27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27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27" s="4" t="str">
        <f>IF(AND(NOT(ISBLANK(GroupStages[ScoreA])),GroupStages[[#This Row],[ScoreA]]=GroupStages[[#This Row],[ScoreB]]), GroupStages[TeamA],"")</f>
        <v/>
      </c>
      <c r="N27" s="4" t="str">
        <f>IF(AND(NOT(ISBLANK(GroupStages[ScoreA])),GroupStages[[#This Row],[ScoreA]]=GroupStages[[#This Row],[ScoreB]]), GroupStages[TeamB],"")</f>
        <v/>
      </c>
      <c r="P27" s="74"/>
    </row>
    <row r="28" spans="2:18" ht="14.45" x14ac:dyDescent="0.3">
      <c r="B28" s="9">
        <v>18</v>
      </c>
      <c r="C28" s="9" t="s">
        <v>78</v>
      </c>
      <c r="D28" s="68">
        <v>0.47916666666666669</v>
      </c>
      <c r="E28" s="8" t="s">
        <v>65</v>
      </c>
      <c r="F28" s="7" t="s">
        <v>45</v>
      </c>
      <c r="G28" s="9" t="s">
        <v>10</v>
      </c>
      <c r="H28" s="30"/>
      <c r="I28" s="6"/>
      <c r="J28" s="9" t="s">
        <v>16</v>
      </c>
      <c r="K28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28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28" s="4" t="str">
        <f>IF(AND(NOT(ISBLANK(GroupStages[ScoreA])),GroupStages[[#This Row],[ScoreA]]=GroupStages[[#This Row],[ScoreB]]), GroupStages[TeamA],"")</f>
        <v/>
      </c>
      <c r="N28" s="4" t="str">
        <f>IF(AND(NOT(ISBLANK(GroupStages[ScoreA])),GroupStages[[#This Row],[ScoreA]]=GroupStages[[#This Row],[ScoreB]]), GroupStages[TeamB],"")</f>
        <v/>
      </c>
      <c r="P28" s="74"/>
    </row>
    <row r="29" spans="2:18" ht="14.45" x14ac:dyDescent="0.3">
      <c r="B29" s="9">
        <v>19</v>
      </c>
      <c r="C29" s="9" t="s">
        <v>78</v>
      </c>
      <c r="D29" s="68">
        <v>0.29166666666666669</v>
      </c>
      <c r="E29" s="8" t="s">
        <v>66</v>
      </c>
      <c r="F29" s="7" t="s">
        <v>47</v>
      </c>
      <c r="G29" s="9" t="s">
        <v>35</v>
      </c>
      <c r="H29" s="30"/>
      <c r="I29" s="6"/>
      <c r="J29" s="9" t="s">
        <v>25</v>
      </c>
      <c r="K29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29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29" s="4" t="str">
        <f>IF(AND(NOT(ISBLANK(GroupStages[ScoreA])),GroupStages[[#This Row],[ScoreA]]=GroupStages[[#This Row],[ScoreB]]), GroupStages[TeamA],"")</f>
        <v/>
      </c>
      <c r="N29" s="4" t="str">
        <f>IF(AND(NOT(ISBLANK(GroupStages[ScoreA])),GroupStages[[#This Row],[ScoreA]]=GroupStages[[#This Row],[ScoreB]]), GroupStages[TeamB],"")</f>
        <v/>
      </c>
      <c r="P29" s="74"/>
    </row>
    <row r="30" spans="2:18" ht="14.45" x14ac:dyDescent="0.3">
      <c r="B30" s="9">
        <v>20</v>
      </c>
      <c r="C30" s="9" t="s">
        <v>78</v>
      </c>
      <c r="D30" s="68">
        <v>0.1875</v>
      </c>
      <c r="E30" s="8" t="s">
        <v>66</v>
      </c>
      <c r="F30" s="7" t="s">
        <v>42</v>
      </c>
      <c r="G30" s="9" t="s">
        <v>9</v>
      </c>
      <c r="H30" s="30"/>
      <c r="I30" s="6"/>
      <c r="J30" s="9" t="s">
        <v>24</v>
      </c>
      <c r="K30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30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30" s="4" t="str">
        <f>IF(AND(NOT(ISBLANK(GroupStages[ScoreA])),GroupStages[[#This Row],[ScoreA]]=GroupStages[[#This Row],[ScoreB]]), GroupStages[TeamA],"")</f>
        <v/>
      </c>
      <c r="N30" s="4" t="str">
        <f>IF(AND(NOT(ISBLANK(GroupStages[ScoreA])),GroupStages[[#This Row],[ScoreA]]=GroupStages[[#This Row],[ScoreB]]), GroupStages[TeamB],"")</f>
        <v/>
      </c>
      <c r="P30" s="74"/>
    </row>
    <row r="31" spans="2:18" ht="14.45" x14ac:dyDescent="0.3">
      <c r="B31" s="9">
        <v>22</v>
      </c>
      <c r="C31" s="9" t="s">
        <v>79</v>
      </c>
      <c r="D31" s="68">
        <v>0.29166666666666669</v>
      </c>
      <c r="E31" s="8" t="s">
        <v>67</v>
      </c>
      <c r="F31" s="7" t="s">
        <v>49</v>
      </c>
      <c r="G31" s="9" t="s">
        <v>33</v>
      </c>
      <c r="H31" s="30"/>
      <c r="I31" s="6"/>
      <c r="J31" s="9" t="s">
        <v>23</v>
      </c>
      <c r="K31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31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31" s="4" t="str">
        <f>IF(AND(NOT(ISBLANK(GroupStages[ScoreA])),GroupStages[[#This Row],[ScoreA]]=GroupStages[[#This Row],[ScoreB]]), GroupStages[TeamA],"")</f>
        <v/>
      </c>
      <c r="N31" s="4" t="str">
        <f>IF(AND(NOT(ISBLANK(GroupStages[ScoreA])),GroupStages[[#This Row],[ScoreA]]=GroupStages[[#This Row],[ScoreB]]), GroupStages[TeamB],"")</f>
        <v/>
      </c>
      <c r="P31" s="74"/>
    </row>
    <row r="32" spans="2:18" ht="14.45" x14ac:dyDescent="0.3">
      <c r="B32" s="9">
        <v>23</v>
      </c>
      <c r="C32" s="9" t="s">
        <v>79</v>
      </c>
      <c r="D32" s="68">
        <v>0.47916666666666669</v>
      </c>
      <c r="E32" s="8" t="s">
        <v>67</v>
      </c>
      <c r="F32" s="7" t="s">
        <v>43</v>
      </c>
      <c r="G32" s="9" t="s">
        <v>11</v>
      </c>
      <c r="H32" s="30"/>
      <c r="I32" s="6"/>
      <c r="J32" s="9" t="s">
        <v>27</v>
      </c>
      <c r="K32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32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32" s="4" t="str">
        <f>IF(AND(NOT(ISBLANK(GroupStages[ScoreA])),GroupStages[[#This Row],[ScoreA]]=GroupStages[[#This Row],[ScoreB]]), GroupStages[TeamA],"")</f>
        <v/>
      </c>
      <c r="N32" s="4" t="str">
        <f>IF(AND(NOT(ISBLANK(GroupStages[ScoreA])),GroupStages[[#This Row],[ScoreA]]=GroupStages[[#This Row],[ScoreB]]), GroupStages[TeamB],"")</f>
        <v/>
      </c>
      <c r="P32" s="74"/>
    </row>
    <row r="33" spans="2:16" ht="14.45" x14ac:dyDescent="0.3">
      <c r="B33" s="9">
        <v>21</v>
      </c>
      <c r="C33" s="9" t="s">
        <v>79</v>
      </c>
      <c r="D33" s="68">
        <v>0.1875</v>
      </c>
      <c r="E33" s="8" t="s">
        <v>1</v>
      </c>
      <c r="F33" s="7" t="s">
        <v>50</v>
      </c>
      <c r="G33" s="9" t="s">
        <v>7</v>
      </c>
      <c r="H33" s="30"/>
      <c r="I33" s="6"/>
      <c r="J33" s="9" t="s">
        <v>14</v>
      </c>
      <c r="K33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33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33" s="4" t="str">
        <f>IF(AND(NOT(ISBLANK(GroupStages[ScoreA])),GroupStages[[#This Row],[ScoreA]]=GroupStages[[#This Row],[ScoreB]]), GroupStages[TeamA],"")</f>
        <v/>
      </c>
      <c r="N33" s="4" t="str">
        <f>IF(AND(NOT(ISBLANK(GroupStages[ScoreA])),GroupStages[[#This Row],[ScoreA]]=GroupStages[[#This Row],[ScoreB]]), GroupStages[TeamB],"")</f>
        <v/>
      </c>
      <c r="P33" s="74"/>
    </row>
    <row r="34" spans="2:16" x14ac:dyDescent="0.25">
      <c r="B34" s="9">
        <v>24</v>
      </c>
      <c r="C34" s="9" t="s">
        <v>80</v>
      </c>
      <c r="D34" s="68">
        <v>0.29166666666666669</v>
      </c>
      <c r="E34" s="8" t="s">
        <v>1</v>
      </c>
      <c r="F34" s="7" t="s">
        <v>46</v>
      </c>
      <c r="G34" s="9" t="s">
        <v>28</v>
      </c>
      <c r="H34" s="30"/>
      <c r="I34" s="6"/>
      <c r="J34" s="9" t="s">
        <v>30</v>
      </c>
      <c r="K34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34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34" s="4" t="str">
        <f>IF(AND(NOT(ISBLANK(GroupStages[ScoreA])),GroupStages[[#This Row],[ScoreA]]=GroupStages[[#This Row],[ScoreB]]), GroupStages[TeamA],"")</f>
        <v/>
      </c>
      <c r="N34" s="4" t="str">
        <f>IF(AND(NOT(ISBLANK(GroupStages[ScoreA])),GroupStages[[#This Row],[ScoreA]]=GroupStages[[#This Row],[ScoreB]]), GroupStages[TeamB],"")</f>
        <v/>
      </c>
      <c r="P34" s="74"/>
    </row>
    <row r="35" spans="2:16" x14ac:dyDescent="0.25">
      <c r="B35" s="9">
        <v>25</v>
      </c>
      <c r="C35" s="9" t="s">
        <v>80</v>
      </c>
      <c r="D35" s="68">
        <v>0.1875</v>
      </c>
      <c r="E35" s="8" t="s">
        <v>68</v>
      </c>
      <c r="F35" s="7" t="s">
        <v>51</v>
      </c>
      <c r="G35" s="9" t="s">
        <v>13</v>
      </c>
      <c r="H35" s="30"/>
      <c r="I35" s="6"/>
      <c r="J35" s="9" t="s">
        <v>26</v>
      </c>
      <c r="K35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35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35" s="4" t="str">
        <f>IF(AND(NOT(ISBLANK(GroupStages[ScoreA])),GroupStages[[#This Row],[ScoreA]]=GroupStages[[#This Row],[ScoreB]]), GroupStages[TeamA],"")</f>
        <v/>
      </c>
      <c r="N35" s="4" t="str">
        <f>IF(AND(NOT(ISBLANK(GroupStages[ScoreA])),GroupStages[[#This Row],[ScoreA]]=GroupStages[[#This Row],[ScoreB]]), GroupStages[TeamB],"")</f>
        <v/>
      </c>
      <c r="P35" s="74"/>
    </row>
    <row r="36" spans="2:16" x14ac:dyDescent="0.25">
      <c r="B36" s="9">
        <v>26</v>
      </c>
      <c r="C36" s="9" t="s">
        <v>80</v>
      </c>
      <c r="D36" s="68">
        <v>0.47916666666666669</v>
      </c>
      <c r="E36" s="8" t="s">
        <v>68</v>
      </c>
      <c r="F36" s="7" t="s">
        <v>53</v>
      </c>
      <c r="G36" s="9" t="s">
        <v>38</v>
      </c>
      <c r="H36" s="30"/>
      <c r="I36" s="6"/>
      <c r="J36" s="9" t="s">
        <v>22</v>
      </c>
      <c r="K36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36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36" s="4" t="str">
        <f>IF(AND(NOT(ISBLANK(GroupStages[ScoreA])),GroupStages[[#This Row],[ScoreA]]=GroupStages[[#This Row],[ScoreB]]), GroupStages[TeamA],"")</f>
        <v/>
      </c>
      <c r="N36" s="4" t="str">
        <f>IF(AND(NOT(ISBLANK(GroupStages[ScoreA])),GroupStages[[#This Row],[ScoreA]]=GroupStages[[#This Row],[ScoreB]]), GroupStages[TeamB],"")</f>
        <v/>
      </c>
      <c r="P36" s="74"/>
    </row>
    <row r="37" spans="2:16" x14ac:dyDescent="0.25">
      <c r="B37" s="9">
        <v>27</v>
      </c>
      <c r="C37" s="9" t="s">
        <v>81</v>
      </c>
      <c r="D37" s="68">
        <v>0.1875</v>
      </c>
      <c r="E37" s="8" t="s">
        <v>69</v>
      </c>
      <c r="F37" s="7" t="s">
        <v>47</v>
      </c>
      <c r="G37" s="9" t="s">
        <v>17</v>
      </c>
      <c r="H37" s="30"/>
      <c r="I37" s="6"/>
      <c r="J37" s="9" t="s">
        <v>21</v>
      </c>
      <c r="K37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37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37" s="4" t="str">
        <f>IF(AND(NOT(ISBLANK(GroupStages[ScoreA])),GroupStages[[#This Row],[ScoreA]]=GroupStages[[#This Row],[ScoreB]]), GroupStages[TeamA],"")</f>
        <v/>
      </c>
      <c r="N37" s="4" t="str">
        <f>IF(AND(NOT(ISBLANK(GroupStages[ScoreA])),GroupStages[[#This Row],[ScoreA]]=GroupStages[[#This Row],[ScoreB]]), GroupStages[TeamB],"")</f>
        <v/>
      </c>
      <c r="P37" s="74"/>
    </row>
    <row r="38" spans="2:16" x14ac:dyDescent="0.25">
      <c r="B38" s="9">
        <v>28</v>
      </c>
      <c r="C38" s="9" t="s">
        <v>81</v>
      </c>
      <c r="D38" s="68">
        <v>0.29166666666666669</v>
      </c>
      <c r="E38" s="8" t="s">
        <v>69</v>
      </c>
      <c r="F38" s="7" t="s">
        <v>56</v>
      </c>
      <c r="G38" s="9" t="s">
        <v>8</v>
      </c>
      <c r="H38" s="30"/>
      <c r="I38" s="6"/>
      <c r="J38" s="9" t="s">
        <v>34</v>
      </c>
      <c r="K38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38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38" s="4" t="str">
        <f>IF(AND(NOT(ISBLANK(GroupStages[ScoreA])),GroupStages[[#This Row],[ScoreA]]=GroupStages[[#This Row],[ScoreB]]), GroupStages[TeamA],"")</f>
        <v/>
      </c>
      <c r="N38" s="4" t="str">
        <f>IF(AND(NOT(ISBLANK(GroupStages[ScoreA])),GroupStages[[#This Row],[ScoreA]]=GroupStages[[#This Row],[ScoreB]]), GroupStages[TeamB],"")</f>
        <v/>
      </c>
      <c r="P38" s="74"/>
    </row>
    <row r="39" spans="2:16" x14ac:dyDescent="0.25">
      <c r="B39" s="9">
        <v>29</v>
      </c>
      <c r="C39" s="9" t="s">
        <v>81</v>
      </c>
      <c r="D39" s="68">
        <v>0.47916666666666669</v>
      </c>
      <c r="E39" s="8" t="s">
        <v>70</v>
      </c>
      <c r="F39" s="7" t="s">
        <v>42</v>
      </c>
      <c r="G39" s="9" t="s">
        <v>6</v>
      </c>
      <c r="H39" s="30"/>
      <c r="I39" s="6"/>
      <c r="J39" s="9" t="s">
        <v>59</v>
      </c>
      <c r="K39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39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39" s="4" t="str">
        <f>IF(AND(NOT(ISBLANK(GroupStages[ScoreA])),GroupStages[[#This Row],[ScoreA]]=GroupStages[[#This Row],[ScoreB]]), GroupStages[TeamA],"")</f>
        <v/>
      </c>
      <c r="N39" s="4" t="str">
        <f>IF(AND(NOT(ISBLANK(GroupStages[ScoreA])),GroupStages[[#This Row],[ScoreA]]=GroupStages[[#This Row],[ScoreB]]), GroupStages[TeamB],"")</f>
        <v/>
      </c>
      <c r="P39" s="74"/>
    </row>
    <row r="40" spans="2:16" x14ac:dyDescent="0.25">
      <c r="B40" s="9">
        <v>30</v>
      </c>
      <c r="C40" s="9" t="s">
        <v>82</v>
      </c>
      <c r="D40" s="68">
        <v>0.1875</v>
      </c>
      <c r="E40" s="8" t="s">
        <v>70</v>
      </c>
      <c r="F40" s="7" t="s">
        <v>43</v>
      </c>
      <c r="G40" s="9" t="s">
        <v>18</v>
      </c>
      <c r="H40" s="30"/>
      <c r="I40" s="6"/>
      <c r="J40" s="9" t="s">
        <v>31</v>
      </c>
      <c r="K40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40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40" s="4" t="str">
        <f>IF(AND(NOT(ISBLANK(GroupStages[ScoreA])),GroupStages[[#This Row],[ScoreA]]=GroupStages[[#This Row],[ScoreB]]), GroupStages[TeamA],"")</f>
        <v/>
      </c>
      <c r="N40" s="4" t="str">
        <f>IF(AND(NOT(ISBLANK(GroupStages[ScoreA])),GroupStages[[#This Row],[ScoreA]]=GroupStages[[#This Row],[ScoreB]]), GroupStages[TeamB],"")</f>
        <v/>
      </c>
      <c r="P40" s="74"/>
    </row>
    <row r="41" spans="2:16" x14ac:dyDescent="0.25">
      <c r="B41" s="9">
        <v>31</v>
      </c>
      <c r="C41" s="9" t="s">
        <v>82</v>
      </c>
      <c r="D41" s="68">
        <v>0.47916666666666669</v>
      </c>
      <c r="E41" s="8" t="s">
        <v>71</v>
      </c>
      <c r="F41" s="7" t="s">
        <v>42</v>
      </c>
      <c r="G41" s="9" t="s">
        <v>20</v>
      </c>
      <c r="H41" s="30"/>
      <c r="I41" s="6"/>
      <c r="J41" s="9" t="s">
        <v>19</v>
      </c>
      <c r="K41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41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41" s="4" t="str">
        <f>IF(AND(NOT(ISBLANK(GroupStages[ScoreA])),GroupStages[[#This Row],[ScoreA]]=GroupStages[[#This Row],[ScoreB]]), GroupStages[TeamA],"")</f>
        <v/>
      </c>
      <c r="N41" s="4" t="str">
        <f>IF(AND(NOT(ISBLANK(GroupStages[ScoreA])),GroupStages[[#This Row],[ScoreA]]=GroupStages[[#This Row],[ScoreB]]), GroupStages[TeamB],"")</f>
        <v/>
      </c>
      <c r="P41" s="74"/>
    </row>
    <row r="42" spans="2:16" x14ac:dyDescent="0.25">
      <c r="B42" s="9">
        <v>32</v>
      </c>
      <c r="C42" s="9" t="s">
        <v>82</v>
      </c>
      <c r="D42" s="68">
        <v>0.1875</v>
      </c>
      <c r="E42" s="8" t="s">
        <v>71</v>
      </c>
      <c r="F42" s="7" t="s">
        <v>43</v>
      </c>
      <c r="G42" s="9" t="s">
        <v>12</v>
      </c>
      <c r="H42" s="30"/>
      <c r="I42" s="6"/>
      <c r="J42" s="9" t="s">
        <v>32</v>
      </c>
      <c r="K42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42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42" s="4" t="str">
        <f>IF(AND(NOT(ISBLANK(GroupStages[ScoreA])),GroupStages[[#This Row],[ScoreA]]=GroupStages[[#This Row],[ScoreB]]), GroupStages[TeamA],"")</f>
        <v/>
      </c>
      <c r="N42" s="4" t="str">
        <f>IF(AND(NOT(ISBLANK(GroupStages[ScoreA])),GroupStages[[#This Row],[ScoreA]]=GroupStages[[#This Row],[ScoreB]]), GroupStages[TeamB],"")</f>
        <v/>
      </c>
      <c r="P42" s="74"/>
    </row>
    <row r="43" spans="2:16" x14ac:dyDescent="0.25">
      <c r="B43" s="9">
        <v>33</v>
      </c>
      <c r="C43" s="9" t="s">
        <v>83</v>
      </c>
      <c r="D43" s="68">
        <v>0.29166666666666669</v>
      </c>
      <c r="E43" s="8" t="s">
        <v>65</v>
      </c>
      <c r="F43" s="7" t="s">
        <v>46</v>
      </c>
      <c r="G43" s="9" t="s">
        <v>16</v>
      </c>
      <c r="H43" s="30"/>
      <c r="I43" s="6"/>
      <c r="J43" s="9" t="s">
        <v>15</v>
      </c>
      <c r="K43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43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43" s="4" t="str">
        <f>IF(AND(NOT(ISBLANK(GroupStages[ScoreA])),GroupStages[[#This Row],[ScoreA]]=GroupStages[[#This Row],[ScoreB]]), GroupStages[TeamA],"")</f>
        <v/>
      </c>
      <c r="N43" s="4" t="str">
        <f>IF(AND(NOT(ISBLANK(GroupStages[ScoreA])),GroupStages[[#This Row],[ScoreA]]=GroupStages[[#This Row],[ScoreB]]), GroupStages[TeamB],"")</f>
        <v/>
      </c>
      <c r="P43" s="74"/>
    </row>
    <row r="44" spans="2:16" x14ac:dyDescent="0.25">
      <c r="B44" s="9">
        <v>34</v>
      </c>
      <c r="C44" s="9" t="s">
        <v>83</v>
      </c>
      <c r="D44" s="68">
        <v>0.29166666666666669</v>
      </c>
      <c r="E44" s="8" t="s">
        <v>65</v>
      </c>
      <c r="F44" s="7" t="s">
        <v>47</v>
      </c>
      <c r="G44" s="9" t="s">
        <v>10</v>
      </c>
      <c r="H44" s="30"/>
      <c r="I44" s="6"/>
      <c r="J44" s="9" t="s">
        <v>29</v>
      </c>
      <c r="K44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44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44" s="4" t="str">
        <f>IF(AND(NOT(ISBLANK(GroupStages[ScoreA])),GroupStages[[#This Row],[ScoreA]]=GroupStages[[#This Row],[ScoreB]]), GroupStages[TeamA],"")</f>
        <v/>
      </c>
      <c r="N44" s="4" t="str">
        <f>IF(AND(NOT(ISBLANK(GroupStages[ScoreA])),GroupStages[[#This Row],[ScoreA]]=GroupStages[[#This Row],[ScoreB]]), GroupStages[TeamB],"")</f>
        <v/>
      </c>
      <c r="P44" s="74"/>
    </row>
    <row r="45" spans="2:16" x14ac:dyDescent="0.25">
      <c r="B45" s="9">
        <v>35</v>
      </c>
      <c r="C45" s="9" t="s">
        <v>83</v>
      </c>
      <c r="D45" s="68">
        <v>0.47916666666666669</v>
      </c>
      <c r="E45" s="8" t="s">
        <v>66</v>
      </c>
      <c r="F45" s="7" t="s">
        <v>51</v>
      </c>
      <c r="G45" s="9" t="s">
        <v>25</v>
      </c>
      <c r="H45" s="30"/>
      <c r="I45" s="6"/>
      <c r="J45" s="9" t="s">
        <v>24</v>
      </c>
      <c r="K45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45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45" s="4" t="str">
        <f>IF(AND(NOT(ISBLANK(GroupStages[ScoreA])),GroupStages[[#This Row],[ScoreA]]=GroupStages[[#This Row],[ScoreB]]), GroupStages[TeamA],"")</f>
        <v/>
      </c>
      <c r="N45" s="4" t="str">
        <f>IF(AND(NOT(ISBLANK(GroupStages[ScoreA])),GroupStages[[#This Row],[ScoreA]]=GroupStages[[#This Row],[ScoreB]]), GroupStages[TeamB],"")</f>
        <v/>
      </c>
      <c r="P45" s="74"/>
    </row>
    <row r="46" spans="2:16" x14ac:dyDescent="0.25">
      <c r="B46" s="9">
        <v>36</v>
      </c>
      <c r="C46" s="9" t="s">
        <v>83</v>
      </c>
      <c r="D46" s="68">
        <v>0.47916666666666669</v>
      </c>
      <c r="E46" s="8" t="s">
        <v>66</v>
      </c>
      <c r="F46" s="7" t="s">
        <v>45</v>
      </c>
      <c r="G46" s="9" t="s">
        <v>35</v>
      </c>
      <c r="H46" s="30"/>
      <c r="I46" s="6"/>
      <c r="J46" s="9" t="s">
        <v>9</v>
      </c>
      <c r="K46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46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46" s="4" t="str">
        <f>IF(AND(NOT(ISBLANK(GroupStages[ScoreA])),GroupStages[[#This Row],[ScoreA]]=GroupStages[[#This Row],[ScoreB]]), GroupStages[TeamA],"")</f>
        <v/>
      </c>
      <c r="N46" s="4" t="str">
        <f>IF(AND(NOT(ISBLANK(GroupStages[ScoreA])),GroupStages[[#This Row],[ScoreA]]=GroupStages[[#This Row],[ScoreB]]), GroupStages[TeamB],"")</f>
        <v/>
      </c>
      <c r="P46" s="74"/>
    </row>
    <row r="47" spans="2:16" x14ac:dyDescent="0.25">
      <c r="B47" s="9">
        <v>37</v>
      </c>
      <c r="C47" s="9" t="s">
        <v>84</v>
      </c>
      <c r="D47" s="68">
        <v>0.29166666666666669</v>
      </c>
      <c r="E47" s="8" t="s">
        <v>67</v>
      </c>
      <c r="F47" s="7" t="s">
        <v>50</v>
      </c>
      <c r="G47" s="9" t="s">
        <v>33</v>
      </c>
      <c r="H47" s="30"/>
      <c r="I47" s="6"/>
      <c r="J47" s="9" t="s">
        <v>11</v>
      </c>
      <c r="K47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47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47" s="4" t="str">
        <f>IF(AND(NOT(ISBLANK(GroupStages[ScoreA])),GroupStages[[#This Row],[ScoreA]]=GroupStages[[#This Row],[ScoreB]]), GroupStages[TeamA],"")</f>
        <v/>
      </c>
      <c r="N47" s="4" t="str">
        <f>IF(AND(NOT(ISBLANK(GroupStages[ScoreA])),GroupStages[[#This Row],[ScoreA]]=GroupStages[[#This Row],[ScoreB]]), GroupStages[TeamB],"")</f>
        <v/>
      </c>
      <c r="P47" s="74"/>
    </row>
    <row r="48" spans="2:16" x14ac:dyDescent="0.25">
      <c r="B48" s="9">
        <v>38</v>
      </c>
      <c r="C48" s="9" t="s">
        <v>84</v>
      </c>
      <c r="D48" s="68">
        <v>0.29166666666666669</v>
      </c>
      <c r="E48" s="8" t="s">
        <v>67</v>
      </c>
      <c r="F48" s="7" t="s">
        <v>53</v>
      </c>
      <c r="G48" s="9" t="s">
        <v>23</v>
      </c>
      <c r="H48" s="30"/>
      <c r="I48" s="6"/>
      <c r="J48" s="9" t="s">
        <v>27</v>
      </c>
      <c r="K48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48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48" s="4" t="str">
        <f>IF(AND(NOT(ISBLANK(GroupStages[ScoreA])),GroupStages[[#This Row],[ScoreA]]=GroupStages[[#This Row],[ScoreB]]), GroupStages[TeamA],"")</f>
        <v/>
      </c>
      <c r="N48" s="4" t="str">
        <f>IF(AND(NOT(ISBLANK(GroupStages[ScoreA])),GroupStages[[#This Row],[ScoreA]]=GroupStages[[#This Row],[ScoreB]]), GroupStages[TeamB],"")</f>
        <v/>
      </c>
      <c r="P48" s="74"/>
    </row>
    <row r="49" spans="2:16" x14ac:dyDescent="0.25">
      <c r="B49" s="9">
        <v>39</v>
      </c>
      <c r="C49" s="9" t="s">
        <v>84</v>
      </c>
      <c r="D49" s="68">
        <v>0.47916666666666669</v>
      </c>
      <c r="E49" s="8" t="s">
        <v>1</v>
      </c>
      <c r="F49" s="7" t="s">
        <v>55</v>
      </c>
      <c r="G49" s="9" t="s">
        <v>28</v>
      </c>
      <c r="H49" s="30"/>
      <c r="I49" s="6"/>
      <c r="J49" s="9" t="s">
        <v>7</v>
      </c>
      <c r="K49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49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49" s="4" t="str">
        <f>IF(AND(NOT(ISBLANK(GroupStages[ScoreA])),GroupStages[[#This Row],[ScoreA]]=GroupStages[[#This Row],[ScoreB]]), GroupStages[TeamA],"")</f>
        <v/>
      </c>
      <c r="N49" s="4" t="str">
        <f>IF(AND(NOT(ISBLANK(GroupStages[ScoreA])),GroupStages[[#This Row],[ScoreA]]=GroupStages[[#This Row],[ScoreB]]), GroupStages[TeamB],"")</f>
        <v/>
      </c>
      <c r="P49" s="74"/>
    </row>
    <row r="50" spans="2:16" x14ac:dyDescent="0.25">
      <c r="B50" s="9">
        <v>40</v>
      </c>
      <c r="C50" s="9" t="s">
        <v>84</v>
      </c>
      <c r="D50" s="68">
        <v>0.47916666666666669</v>
      </c>
      <c r="E50" s="8" t="s">
        <v>1</v>
      </c>
      <c r="F50" s="7" t="s">
        <v>56</v>
      </c>
      <c r="G50" s="9" t="s">
        <v>30</v>
      </c>
      <c r="H50" s="30"/>
      <c r="I50" s="6"/>
      <c r="J50" s="9" t="s">
        <v>14</v>
      </c>
      <c r="K50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50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50" s="4" t="str">
        <f>IF(AND(NOT(ISBLANK(GroupStages[ScoreA])),GroupStages[[#This Row],[ScoreA]]=GroupStages[[#This Row],[ScoreB]]), GroupStages[TeamA],"")</f>
        <v/>
      </c>
      <c r="N50" s="4" t="str">
        <f>IF(AND(NOT(ISBLANK(GroupStages[ScoreA])),GroupStages[[#This Row],[ScoreA]]=GroupStages[[#This Row],[ScoreB]]), GroupStages[TeamB],"")</f>
        <v/>
      </c>
      <c r="P50" s="74"/>
    </row>
    <row r="51" spans="2:16" x14ac:dyDescent="0.25">
      <c r="B51" s="9">
        <v>43</v>
      </c>
      <c r="C51" s="9" t="s">
        <v>85</v>
      </c>
      <c r="D51" s="68">
        <v>0.47916666666666669</v>
      </c>
      <c r="E51" s="8" t="s">
        <v>68</v>
      </c>
      <c r="F51" s="7" t="s">
        <v>46</v>
      </c>
      <c r="G51" s="9" t="s">
        <v>22</v>
      </c>
      <c r="H51" s="30"/>
      <c r="I51" s="6"/>
      <c r="J51" s="9" t="s">
        <v>26</v>
      </c>
      <c r="K51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51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51" s="4" t="str">
        <f>IF(AND(NOT(ISBLANK(GroupStages[ScoreA])),GroupStages[[#This Row],[ScoreA]]=GroupStages[[#This Row],[ScoreB]]), GroupStages[TeamA],"")</f>
        <v/>
      </c>
      <c r="N51" s="4" t="str">
        <f>IF(AND(NOT(ISBLANK(GroupStages[ScoreA])),GroupStages[[#This Row],[ScoreA]]=GroupStages[[#This Row],[ScoreB]]), GroupStages[TeamB],"")</f>
        <v/>
      </c>
      <c r="P51" s="74"/>
    </row>
    <row r="52" spans="2:16" x14ac:dyDescent="0.25">
      <c r="B52" s="9">
        <v>44</v>
      </c>
      <c r="C52" s="9" t="s">
        <v>85</v>
      </c>
      <c r="D52" s="68">
        <v>0.47916666666666669</v>
      </c>
      <c r="E52" s="8" t="s">
        <v>68</v>
      </c>
      <c r="F52" s="7" t="s">
        <v>43</v>
      </c>
      <c r="G52" s="9" t="s">
        <v>38</v>
      </c>
      <c r="H52" s="30"/>
      <c r="I52" s="6"/>
      <c r="J52" s="9" t="s">
        <v>13</v>
      </c>
      <c r="K52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52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52" s="4" t="str">
        <f>IF(AND(NOT(ISBLANK(GroupStages[ScoreA])),GroupStages[[#This Row],[ScoreA]]=GroupStages[[#This Row],[ScoreB]]), GroupStages[TeamA],"")</f>
        <v/>
      </c>
      <c r="N52" s="4" t="str">
        <f>IF(AND(NOT(ISBLANK(GroupStages[ScoreA])),GroupStages[[#This Row],[ScoreA]]=GroupStages[[#This Row],[ScoreB]]), GroupStages[TeamB],"")</f>
        <v/>
      </c>
      <c r="P52" s="74"/>
    </row>
    <row r="53" spans="2:16" x14ac:dyDescent="0.25">
      <c r="B53" s="9">
        <v>41</v>
      </c>
      <c r="C53" s="9" t="s">
        <v>85</v>
      </c>
      <c r="D53" s="68">
        <v>0.29166666666666669</v>
      </c>
      <c r="E53" s="8" t="s">
        <v>69</v>
      </c>
      <c r="F53" s="7" t="s">
        <v>49</v>
      </c>
      <c r="G53" s="9" t="s">
        <v>17</v>
      </c>
      <c r="H53" s="30"/>
      <c r="I53" s="6"/>
      <c r="J53" s="9" t="s">
        <v>8</v>
      </c>
      <c r="K53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53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53" s="4" t="str">
        <f>IF(AND(NOT(ISBLANK(GroupStages[ScoreA])),GroupStages[[#This Row],[ScoreA]]=GroupStages[[#This Row],[ScoreB]]), GroupStages[TeamA],"")</f>
        <v/>
      </c>
      <c r="N53" s="4" t="str">
        <f>IF(AND(NOT(ISBLANK(GroupStages[ScoreA])),GroupStages[[#This Row],[ScoreA]]=GroupStages[[#This Row],[ScoreB]]), GroupStages[TeamB],"")</f>
        <v/>
      </c>
      <c r="P53" s="74"/>
    </row>
    <row r="54" spans="2:16" x14ac:dyDescent="0.25">
      <c r="B54" s="9">
        <v>42</v>
      </c>
      <c r="C54" s="9" t="s">
        <v>85</v>
      </c>
      <c r="D54" s="68">
        <v>0.29166666666666669</v>
      </c>
      <c r="E54" s="8" t="s">
        <v>69</v>
      </c>
      <c r="F54" s="7" t="s">
        <v>45</v>
      </c>
      <c r="G54" s="9" t="s">
        <v>21</v>
      </c>
      <c r="H54" s="30"/>
      <c r="I54" s="6"/>
      <c r="J54" s="9" t="s">
        <v>34</v>
      </c>
      <c r="K54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54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54" s="4" t="str">
        <f>IF(AND(NOT(ISBLANK(GroupStages[ScoreA])),GroupStages[[#This Row],[ScoreA]]=GroupStages[[#This Row],[ScoreB]]), GroupStages[TeamA],"")</f>
        <v/>
      </c>
      <c r="N54" s="4" t="str">
        <f>IF(AND(NOT(ISBLANK(GroupStages[ScoreA])),GroupStages[[#This Row],[ScoreA]]=GroupStages[[#This Row],[ScoreB]]), GroupStages[TeamB],"")</f>
        <v/>
      </c>
      <c r="P54" s="74"/>
    </row>
    <row r="55" spans="2:16" x14ac:dyDescent="0.25">
      <c r="B55" s="9">
        <v>45</v>
      </c>
      <c r="C55" s="9" t="s">
        <v>86</v>
      </c>
      <c r="D55" s="68">
        <v>0.29166666666666669</v>
      </c>
      <c r="E55" s="8" t="s">
        <v>70</v>
      </c>
      <c r="F55" s="7" t="s">
        <v>51</v>
      </c>
      <c r="G55" s="9" t="s">
        <v>18</v>
      </c>
      <c r="H55" s="30"/>
      <c r="I55" s="6"/>
      <c r="J55" s="9" t="s">
        <v>6</v>
      </c>
      <c r="K55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55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55" s="4" t="str">
        <f>IF(AND(NOT(ISBLANK(GroupStages[ScoreA])),GroupStages[[#This Row],[ScoreA]]=GroupStages[[#This Row],[ScoreB]]), GroupStages[TeamA],"")</f>
        <v/>
      </c>
      <c r="N55" s="4" t="str">
        <f>IF(AND(NOT(ISBLANK(GroupStages[ScoreA])),GroupStages[[#This Row],[ScoreA]]=GroupStages[[#This Row],[ScoreB]]), GroupStages[TeamB],"")</f>
        <v/>
      </c>
      <c r="P55" s="74"/>
    </row>
    <row r="56" spans="2:16" x14ac:dyDescent="0.25">
      <c r="B56" s="9">
        <v>46</v>
      </c>
      <c r="C56" s="9" t="s">
        <v>86</v>
      </c>
      <c r="D56" s="68">
        <v>0.29166666666666669</v>
      </c>
      <c r="E56" s="8" t="s">
        <v>70</v>
      </c>
      <c r="F56" s="7" t="s">
        <v>56</v>
      </c>
      <c r="G56" s="9" t="s">
        <v>31</v>
      </c>
      <c r="H56" s="30"/>
      <c r="I56" s="6"/>
      <c r="J56" s="9" t="s">
        <v>59</v>
      </c>
      <c r="K56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56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56" s="4" t="str">
        <f>IF(AND(NOT(ISBLANK(GroupStages[ScoreA])),GroupStages[[#This Row],[ScoreA]]=GroupStages[[#This Row],[ScoreB]]), GroupStages[TeamA],"")</f>
        <v/>
      </c>
      <c r="N56" s="4" t="str">
        <f>IF(AND(NOT(ISBLANK(GroupStages[ScoreA])),GroupStages[[#This Row],[ScoreA]]=GroupStages[[#This Row],[ScoreB]]), GroupStages[TeamB],"")</f>
        <v/>
      </c>
      <c r="P56" s="74"/>
    </row>
    <row r="57" spans="2:16" x14ac:dyDescent="0.25">
      <c r="B57" s="9">
        <v>47</v>
      </c>
      <c r="C57" s="9" t="s">
        <v>86</v>
      </c>
      <c r="D57" s="68">
        <v>0.29166666666666669</v>
      </c>
      <c r="E57" s="8" t="s">
        <v>71</v>
      </c>
      <c r="F57" s="7" t="s">
        <v>51</v>
      </c>
      <c r="G57" s="9" t="s">
        <v>20</v>
      </c>
      <c r="H57" s="30"/>
      <c r="I57" s="6"/>
      <c r="J57" s="9" t="s">
        <v>12</v>
      </c>
      <c r="K57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57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57" s="4" t="str">
        <f>IF(AND(NOT(ISBLANK(GroupStages[ScoreA])),GroupStages[[#This Row],[ScoreA]]=GroupStages[[#This Row],[ScoreB]]), GroupStages[TeamA],"")</f>
        <v/>
      </c>
      <c r="N57" s="4" t="str">
        <f>IF(AND(NOT(ISBLANK(GroupStages[ScoreA])),GroupStages[[#This Row],[ScoreA]]=GroupStages[[#This Row],[ScoreB]]), GroupStages[TeamB],"")</f>
        <v/>
      </c>
      <c r="P57" s="74"/>
    </row>
    <row r="58" spans="2:16" x14ac:dyDescent="0.25">
      <c r="B58" s="9">
        <v>48</v>
      </c>
      <c r="C58" s="9" t="s">
        <v>86</v>
      </c>
      <c r="D58" s="68">
        <v>0.29166666666666669</v>
      </c>
      <c r="E58" s="8" t="s">
        <v>71</v>
      </c>
      <c r="F58" s="7" t="s">
        <v>56</v>
      </c>
      <c r="G58" s="9" t="s">
        <v>19</v>
      </c>
      <c r="H58" s="30"/>
      <c r="I58" s="6"/>
      <c r="J58" s="9" t="s">
        <v>32</v>
      </c>
      <c r="K58" s="4" t="str">
        <f>IF(GroupStages[[#This Row],[ScoreA]]=GroupStages[[#This Row],[ScoreB]], "", IF(GroupStages[[#This Row],[ScoreA]]&gt;GroupStages[[#This Row],[ScoreB]],GroupStages[[#This Row],[TeamA]], GroupStages[[#This Row],[TeamB]]))</f>
        <v/>
      </c>
      <c r="L58" s="4" t="str">
        <f>IF(GroupStages[[#This Row],[ScoreA]]=GroupStages[[#This Row],[ScoreB]], "", IF(GroupStages[[#This Row],[ScoreA]]&lt;GroupStages[[#This Row],[ScoreB]],GroupStages[[#This Row],[TeamA]], GroupStages[[#This Row],[TeamB]]))</f>
        <v/>
      </c>
      <c r="M58" s="4" t="str">
        <f>IF(AND(NOT(ISBLANK(GroupStages[ScoreA])),GroupStages[[#This Row],[ScoreA]]=GroupStages[[#This Row],[ScoreB]]), GroupStages[TeamA],"")</f>
        <v/>
      </c>
      <c r="N58" s="4" t="str">
        <f>IF(AND(NOT(ISBLANK(GroupStages[ScoreA])),GroupStages[[#This Row],[ScoreA]]=GroupStages[[#This Row],[ScoreB]]), GroupStages[TeamB],"")</f>
        <v/>
      </c>
      <c r="P58" s="74"/>
    </row>
    <row r="59" spans="2:16" x14ac:dyDescent="0.25">
      <c r="B59" s="2"/>
      <c r="C59"/>
      <c r="E59" s="3"/>
      <c r="F59"/>
      <c r="G59" s="3"/>
      <c r="H59"/>
      <c r="P59" s="74"/>
    </row>
    <row r="60" spans="2:16" x14ac:dyDescent="0.25">
      <c r="B60" s="2"/>
      <c r="C60"/>
      <c r="E60" s="3"/>
      <c r="F60"/>
      <c r="G60" s="3"/>
      <c r="H60"/>
      <c r="P60" s="74"/>
    </row>
    <row r="61" spans="2:16" x14ac:dyDescent="0.25">
      <c r="P61" s="74"/>
    </row>
    <row r="62" spans="2:16" x14ac:dyDescent="0.25">
      <c r="P62" s="74"/>
    </row>
    <row r="63" spans="2:16" x14ac:dyDescent="0.25">
      <c r="P63" s="74"/>
    </row>
    <row r="64" spans="2:16" x14ac:dyDescent="0.25">
      <c r="P64" s="74"/>
    </row>
    <row r="65" spans="2:16" x14ac:dyDescent="0.25">
      <c r="P65" s="74"/>
    </row>
    <row r="66" spans="2:16" x14ac:dyDescent="0.25">
      <c r="P66" s="74"/>
    </row>
    <row r="67" spans="2:16" x14ac:dyDescent="0.25">
      <c r="P67" s="74"/>
    </row>
    <row r="68" spans="2:16" x14ac:dyDescent="0.25">
      <c r="P68" s="74"/>
    </row>
    <row r="69" spans="2:16" x14ac:dyDescent="0.25">
      <c r="P69" s="74"/>
    </row>
    <row r="70" spans="2:16" x14ac:dyDescent="0.25">
      <c r="P70" s="74"/>
    </row>
    <row r="71" spans="2:16" ht="19.5" x14ac:dyDescent="0.25">
      <c r="B71" s="77" t="s">
        <v>119</v>
      </c>
      <c r="C71" s="77"/>
      <c r="D71" s="77"/>
      <c r="E71" s="77"/>
      <c r="F71" s="77"/>
    </row>
  </sheetData>
  <mergeCells count="3">
    <mergeCell ref="B7:F7"/>
    <mergeCell ref="G7:H7"/>
    <mergeCell ref="B71:F71"/>
  </mergeCells>
  <conditionalFormatting sqref="H11:H58">
    <cfRule type="expression" dxfId="103" priority="1" stopIfTrue="1">
      <formula>H11&gt;I11</formula>
    </cfRule>
    <cfRule type="expression" dxfId="102" priority="6" stopIfTrue="1">
      <formula>H11&lt;I11</formula>
    </cfRule>
  </conditionalFormatting>
  <conditionalFormatting sqref="H11:I58">
    <cfRule type="containsBlanks" dxfId="101" priority="39" stopIfTrue="1">
      <formula>LEN(TRIM(H11))=0</formula>
    </cfRule>
  </conditionalFormatting>
  <conditionalFormatting sqref="I11:I58">
    <cfRule type="expression" dxfId="100" priority="15" stopIfTrue="1">
      <formula>I11&gt;H11</formula>
    </cfRule>
    <cfRule type="expression" dxfId="99" priority="16" stopIfTrue="1">
      <formula>I11&lt;H11</formula>
    </cfRule>
  </conditionalFormatting>
  <conditionalFormatting sqref="B11:G58 J11:J58">
    <cfRule type="expression" dxfId="98" priority="42" stopIfTrue="1">
      <formula>$G11=$I$7</formula>
    </cfRule>
    <cfRule type="expression" dxfId="97" priority="43" stopIfTrue="1">
      <formula>$J11=$I$7</formula>
    </cfRule>
  </conditionalFormatting>
  <hyperlinks>
    <hyperlink ref="B71:F71" r:id="rId1" display="To learn how to create this template visit the Excel® blog"/>
  </hyperlinks>
  <pageMargins left="0.7" right="0.7" top="0.75" bottom="0.75" header="0.3" footer="0.3"/>
  <pageSetup orientation="portrait" r:id="rId2"/>
  <drawing r:id="rId3"/>
  <legacy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7"/>
  <sheetViews>
    <sheetView showGridLines="0" zoomScale="80" zoomScaleNormal="80" workbookViewId="0"/>
  </sheetViews>
  <sheetFormatPr defaultRowHeight="15" x14ac:dyDescent="0.25"/>
  <cols>
    <col min="1" max="1" width="9.140625" style="2"/>
    <col min="2" max="2" width="18.28515625" bestFit="1" customWidth="1"/>
    <col min="3" max="3" width="12.7109375" bestFit="1" customWidth="1"/>
    <col min="4" max="4" width="17.5703125" bestFit="1" customWidth="1"/>
    <col min="5" max="5" width="14.42578125" bestFit="1" customWidth="1"/>
    <col min="6" max="6" width="37.85546875" bestFit="1" customWidth="1"/>
    <col min="7" max="7" width="14.42578125" bestFit="1" customWidth="1"/>
    <col min="8" max="8" width="18" bestFit="1" customWidth="1"/>
    <col min="9" max="9" width="18.28515625" customWidth="1"/>
    <col min="10" max="10" width="15.42578125" customWidth="1"/>
    <col min="15" max="15" width="14.85546875" customWidth="1"/>
    <col min="16" max="16" width="11.42578125" style="2" customWidth="1"/>
    <col min="17" max="17" width="17.5703125" customWidth="1"/>
    <col min="18" max="18" width="15.28515625" customWidth="1"/>
    <col min="19" max="19" width="15.7109375" customWidth="1"/>
    <col min="20" max="20" width="16.28515625" customWidth="1"/>
    <col min="21" max="21" width="21" customWidth="1"/>
    <col min="22" max="22" width="13.85546875" style="2" customWidth="1"/>
    <col min="23" max="23" width="15.85546875" customWidth="1"/>
  </cols>
  <sheetData>
    <row r="1" spans="2:10" s="2" customFormat="1" x14ac:dyDescent="0.25"/>
    <row r="2" spans="2:10" s="2" customFormat="1" ht="18.75" x14ac:dyDescent="0.3">
      <c r="B2" s="63" t="s">
        <v>113</v>
      </c>
      <c r="C2" s="63"/>
      <c r="D2" s="63" t="s">
        <v>114</v>
      </c>
      <c r="E2" s="63" t="s">
        <v>115</v>
      </c>
      <c r="F2" s="63" t="s">
        <v>107</v>
      </c>
      <c r="G2" s="63" t="s">
        <v>115</v>
      </c>
      <c r="H2" s="63" t="s">
        <v>116</v>
      </c>
      <c r="I2" s="63"/>
      <c r="J2" s="63" t="s">
        <v>113</v>
      </c>
    </row>
    <row r="3" spans="2:10" s="2" customFormat="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2:10" s="2" customFormat="1" ht="15.75" thickBot="1" x14ac:dyDescent="0.3">
      <c r="B4" s="32" t="str">
        <f>G26</f>
        <v>1A</v>
      </c>
      <c r="C4" s="9"/>
      <c r="D4" s="3"/>
      <c r="E4" s="3"/>
      <c r="F4" s="3"/>
      <c r="G4" s="3"/>
      <c r="H4" s="3"/>
      <c r="I4" s="3"/>
      <c r="J4" s="32" t="str">
        <f>G29</f>
        <v>1B</v>
      </c>
    </row>
    <row r="5" spans="2:10" s="2" customFormat="1" ht="15.75" thickBot="1" x14ac:dyDescent="0.3">
      <c r="B5" s="31"/>
      <c r="C5" s="9"/>
      <c r="D5" s="33" t="str">
        <f>G38</f>
        <v>W49</v>
      </c>
      <c r="E5" s="3"/>
      <c r="F5" s="3"/>
      <c r="G5" s="3"/>
      <c r="H5" s="33" t="str">
        <f>G39</f>
        <v>W52</v>
      </c>
      <c r="I5" s="9"/>
      <c r="J5" s="31"/>
    </row>
    <row r="6" spans="2:10" s="2" customFormat="1" ht="15.75" thickBot="1" x14ac:dyDescent="0.3">
      <c r="B6" s="34" t="str">
        <f>J26</f>
        <v>2B</v>
      </c>
      <c r="C6" s="3"/>
      <c r="D6" s="3"/>
      <c r="E6" s="3"/>
      <c r="F6" s="3"/>
      <c r="G6" s="3"/>
      <c r="H6" s="3"/>
      <c r="I6" s="3"/>
      <c r="J6" s="34" t="str">
        <f>J29</f>
        <v>2A</v>
      </c>
    </row>
    <row r="7" spans="2:10" s="2" customFormat="1" ht="15.75" thickBot="1" x14ac:dyDescent="0.3">
      <c r="B7" s="3"/>
      <c r="C7" s="3"/>
      <c r="D7" s="3"/>
      <c r="E7" s="33" t="str">
        <f>G44</f>
        <v>W58</v>
      </c>
      <c r="F7" s="3"/>
      <c r="G7" s="33" t="str">
        <f>G45</f>
        <v>W59</v>
      </c>
      <c r="H7" s="3"/>
      <c r="I7" s="3"/>
      <c r="J7" s="3"/>
    </row>
    <row r="8" spans="2:10" s="2" customFormat="1" ht="15.75" thickBot="1" x14ac:dyDescent="0.3">
      <c r="B8" s="32" t="str">
        <f>G27</f>
        <v>1C</v>
      </c>
      <c r="C8" s="9"/>
      <c r="D8" s="3"/>
      <c r="E8" s="3"/>
      <c r="F8" s="3"/>
      <c r="G8" s="3"/>
      <c r="H8" s="3"/>
      <c r="I8" s="3"/>
      <c r="J8" s="32" t="str">
        <f>G28</f>
        <v>1D</v>
      </c>
    </row>
    <row r="9" spans="2:10" s="2" customFormat="1" ht="15.75" thickBot="1" x14ac:dyDescent="0.3">
      <c r="B9" s="31"/>
      <c r="C9" s="9"/>
      <c r="D9" s="33" t="str">
        <f>J38</f>
        <v>W50</v>
      </c>
      <c r="E9" s="3"/>
      <c r="F9" s="3"/>
      <c r="G9" s="3"/>
      <c r="H9" s="33" t="str">
        <f>J39</f>
        <v>W51</v>
      </c>
      <c r="I9" s="9"/>
      <c r="J9" s="31"/>
    </row>
    <row r="10" spans="2:10" s="2" customFormat="1" ht="15.75" thickBot="1" x14ac:dyDescent="0.3">
      <c r="B10" s="34" t="str">
        <f>J27</f>
        <v>2D</v>
      </c>
      <c r="C10" s="3"/>
      <c r="D10" s="3"/>
      <c r="E10" s="3"/>
      <c r="F10" s="33" t="str">
        <f>G53</f>
        <v>W61</v>
      </c>
      <c r="G10" s="3"/>
      <c r="H10" s="3"/>
      <c r="I10" s="3"/>
      <c r="J10" s="34" t="str">
        <f>J28</f>
        <v>2C</v>
      </c>
    </row>
    <row r="11" spans="2:10" s="2" customFormat="1" ht="15.75" thickBot="1" x14ac:dyDescent="0.3">
      <c r="B11" s="9"/>
      <c r="C11" s="3"/>
      <c r="D11" s="3"/>
      <c r="E11" s="3"/>
      <c r="F11" s="3"/>
      <c r="G11" s="3"/>
      <c r="H11" s="3"/>
      <c r="I11" s="3"/>
      <c r="J11" s="3"/>
    </row>
    <row r="12" spans="2:10" s="2" customFormat="1" ht="15.75" thickBot="1" x14ac:dyDescent="0.3">
      <c r="B12" s="9"/>
      <c r="C12" s="9"/>
      <c r="D12" s="3"/>
      <c r="E12" s="3"/>
      <c r="F12" s="35" t="str">
        <f>F57</f>
        <v>World Cup Champion</v>
      </c>
      <c r="G12" s="3"/>
      <c r="H12" s="3"/>
      <c r="I12" s="3"/>
      <c r="J12" s="3"/>
    </row>
    <row r="13" spans="2:10" s="2" customFormat="1" ht="15.75" thickBot="1" x14ac:dyDescent="0.3">
      <c r="B13" s="9"/>
      <c r="C13" s="9"/>
      <c r="D13" s="3"/>
      <c r="E13" s="3"/>
      <c r="F13" s="3"/>
      <c r="G13" s="3"/>
      <c r="H13" s="3"/>
      <c r="I13" s="3"/>
      <c r="J13" s="3"/>
    </row>
    <row r="14" spans="2:10" s="2" customFormat="1" ht="15.75" thickBot="1" x14ac:dyDescent="0.3">
      <c r="B14" s="32" t="str">
        <f>G30</f>
        <v>1E</v>
      </c>
      <c r="C14" s="3"/>
      <c r="D14" s="3"/>
      <c r="E14" s="3"/>
      <c r="F14" s="33" t="str">
        <f>J53</f>
        <v>W62</v>
      </c>
      <c r="G14" s="3"/>
      <c r="H14" s="3"/>
      <c r="I14" s="3"/>
      <c r="J14" s="32" t="str">
        <f>G32</f>
        <v>1F</v>
      </c>
    </row>
    <row r="15" spans="2:10" s="2" customFormat="1" ht="15.75" thickBot="1" x14ac:dyDescent="0.3">
      <c r="B15" s="31"/>
      <c r="C15" s="9"/>
      <c r="D15" s="33" t="str">
        <f>G37</f>
        <v>W53</v>
      </c>
      <c r="E15" s="3"/>
      <c r="F15" s="3"/>
      <c r="G15" s="3"/>
      <c r="H15" s="33" t="str">
        <f>G40</f>
        <v>W55</v>
      </c>
      <c r="I15" s="9"/>
      <c r="J15" s="31"/>
    </row>
    <row r="16" spans="2:10" s="2" customFormat="1" ht="15.75" thickBot="1" x14ac:dyDescent="0.3">
      <c r="B16" s="34" t="str">
        <f>J30</f>
        <v>2F</v>
      </c>
      <c r="C16" s="9"/>
      <c r="D16" s="3"/>
      <c r="E16" s="3"/>
      <c r="F16" s="3"/>
      <c r="G16" s="3"/>
      <c r="H16" s="3"/>
      <c r="I16" s="3"/>
      <c r="J16" s="34" t="str">
        <f>J32</f>
        <v>2E</v>
      </c>
    </row>
    <row r="17" spans="2:10" ht="15.75" thickBot="1" x14ac:dyDescent="0.3">
      <c r="B17" s="3"/>
      <c r="C17" s="3"/>
      <c r="D17" s="3"/>
      <c r="E17" s="33" t="str">
        <f>J44</f>
        <v>W57</v>
      </c>
      <c r="F17" s="3"/>
      <c r="G17" s="33" t="str">
        <f>J45</f>
        <v>W60</v>
      </c>
      <c r="H17" s="3"/>
      <c r="I17" s="3"/>
      <c r="J17" s="3"/>
    </row>
    <row r="18" spans="2:10" s="2" customFormat="1" ht="15.75" thickBot="1" x14ac:dyDescent="0.3">
      <c r="B18" s="32" t="str">
        <f>G31</f>
        <v>1G</v>
      </c>
      <c r="C18" s="3"/>
      <c r="D18" s="3"/>
      <c r="E18" s="3"/>
      <c r="F18" s="3"/>
      <c r="G18" s="3"/>
      <c r="H18" s="3"/>
      <c r="I18" s="3"/>
      <c r="J18" s="32" t="str">
        <f>G33</f>
        <v>1H</v>
      </c>
    </row>
    <row r="19" spans="2:10" s="2" customFormat="1" ht="15.75" thickBot="1" x14ac:dyDescent="0.3">
      <c r="B19" s="31"/>
      <c r="C19" s="3"/>
      <c r="D19" s="33" t="str">
        <f>J37</f>
        <v>W54</v>
      </c>
      <c r="E19" s="3"/>
      <c r="F19" s="3"/>
      <c r="G19" s="3"/>
      <c r="H19" s="33" t="str">
        <f>J40</f>
        <v>W56</v>
      </c>
      <c r="I19" s="9"/>
      <c r="J19" s="31"/>
    </row>
    <row r="20" spans="2:10" s="2" customFormat="1" ht="15.75" thickBot="1" x14ac:dyDescent="0.3">
      <c r="B20" s="34" t="str">
        <f>J31</f>
        <v>2H</v>
      </c>
      <c r="C20" s="3"/>
      <c r="D20" s="3"/>
      <c r="E20" s="3"/>
      <c r="F20" s="3"/>
      <c r="G20" s="3"/>
      <c r="H20" s="3"/>
      <c r="I20" s="3"/>
      <c r="J20" s="34" t="str">
        <f>J33</f>
        <v>2G</v>
      </c>
    </row>
    <row r="21" spans="2:10" s="2" customFormat="1" x14ac:dyDescent="0.25"/>
    <row r="22" spans="2:10" s="2" customFormat="1" x14ac:dyDescent="0.25"/>
    <row r="24" spans="2:10" ht="21" x14ac:dyDescent="0.35">
      <c r="B24" s="53" t="s">
        <v>95</v>
      </c>
    </row>
    <row r="25" spans="2:10" ht="15.75" thickBot="1" x14ac:dyDescent="0.3">
      <c r="C25" s="42" t="s">
        <v>40</v>
      </c>
      <c r="D25" s="42" t="s">
        <v>87</v>
      </c>
      <c r="E25" s="42" t="s">
        <v>96</v>
      </c>
      <c r="F25" s="42" t="s">
        <v>41</v>
      </c>
      <c r="G25" s="38" t="s">
        <v>60</v>
      </c>
      <c r="H25" s="38" t="s">
        <v>62</v>
      </c>
      <c r="I25" s="38" t="s">
        <v>63</v>
      </c>
      <c r="J25" s="38" t="s">
        <v>61</v>
      </c>
    </row>
    <row r="26" spans="2:10" x14ac:dyDescent="0.25">
      <c r="C26" s="36">
        <v>49</v>
      </c>
      <c r="D26" s="36" t="s">
        <v>97</v>
      </c>
      <c r="E26" s="61">
        <v>0.29166666666666669</v>
      </c>
      <c r="F26" s="39" t="s">
        <v>50</v>
      </c>
      <c r="G26" s="43" t="str">
        <f>IFERROR(VLOOKUP(1,GroupA[#All],2,FALSE),"1A")</f>
        <v>1A</v>
      </c>
      <c r="H26" s="44"/>
      <c r="I26" s="44"/>
      <c r="J26" s="45" t="str">
        <f>IFERROR(VLOOKUP(2,GroupB[#All],2,FALSE),"2B")</f>
        <v>2B</v>
      </c>
    </row>
    <row r="27" spans="2:10" x14ac:dyDescent="0.25">
      <c r="C27" s="41">
        <v>50</v>
      </c>
      <c r="D27" s="41" t="s">
        <v>97</v>
      </c>
      <c r="E27" s="62">
        <v>0.47916666666666669</v>
      </c>
      <c r="F27" s="40" t="s">
        <v>46</v>
      </c>
      <c r="G27" s="46" t="str">
        <f>IFERROR(VLOOKUP(1,GroupC[#All],2,FALSE),"1C")</f>
        <v>1C</v>
      </c>
      <c r="H27" s="41"/>
      <c r="I27" s="41"/>
      <c r="J27" s="47" t="str">
        <f>IFERROR(VLOOKUP(2,GroupD[#All],2,FALSE),"2D")</f>
        <v>2D</v>
      </c>
    </row>
    <row r="28" spans="2:10" x14ac:dyDescent="0.25">
      <c r="C28" s="36">
        <v>51</v>
      </c>
      <c r="D28" s="36" t="s">
        <v>98</v>
      </c>
      <c r="E28" s="61">
        <v>0.29166666666666669</v>
      </c>
      <c r="F28" s="39" t="s">
        <v>47</v>
      </c>
      <c r="G28" s="48" t="str">
        <f>IFERROR(VLOOKUP(1,GroupD[#All],2,FALSE),"1D")</f>
        <v>1D</v>
      </c>
      <c r="H28" s="36"/>
      <c r="I28" s="36"/>
      <c r="J28" s="49" t="str">
        <f>IFERROR(VLOOKUP(2,GroupC[#All],2,FALSE),"2C")</f>
        <v>2C</v>
      </c>
    </row>
    <row r="29" spans="2:10" x14ac:dyDescent="0.25">
      <c r="C29" s="41">
        <v>52</v>
      </c>
      <c r="D29" s="41" t="s">
        <v>98</v>
      </c>
      <c r="E29" s="62">
        <v>0.47916666666666669</v>
      </c>
      <c r="F29" s="40" t="s">
        <v>101</v>
      </c>
      <c r="G29" s="48" t="str">
        <f>IFERROR(VLOOKUP(1,GroupB[#All],2,FALSE),"1B")</f>
        <v>1B</v>
      </c>
      <c r="H29" s="41"/>
      <c r="I29" s="41"/>
      <c r="J29" s="47" t="str">
        <f>IFERROR(VLOOKUP(2,GroupA[#All],2,FALSE),"2A")</f>
        <v>2A</v>
      </c>
    </row>
    <row r="30" spans="2:10" x14ac:dyDescent="0.25">
      <c r="C30" s="36">
        <v>53</v>
      </c>
      <c r="D30" s="36" t="s">
        <v>99</v>
      </c>
      <c r="E30" s="61">
        <v>0.29166666666666669</v>
      </c>
      <c r="F30" s="39" t="s">
        <v>51</v>
      </c>
      <c r="G30" s="46" t="str">
        <f>IFERROR(VLOOKUP(1,GroupE[#All],2,FALSE),"1E")</f>
        <v>1E</v>
      </c>
      <c r="H30" s="36"/>
      <c r="I30" s="36"/>
      <c r="J30" s="49" t="str">
        <f>IFERROR(VLOOKUP(2,GroupF[#All],2,FALSE),"2F")</f>
        <v>2F</v>
      </c>
    </row>
    <row r="31" spans="2:10" x14ac:dyDescent="0.25">
      <c r="C31" s="41">
        <v>54</v>
      </c>
      <c r="D31" s="41" t="s">
        <v>99</v>
      </c>
      <c r="E31" s="62">
        <v>0.47916666666666669</v>
      </c>
      <c r="F31" s="40" t="s">
        <v>101</v>
      </c>
      <c r="G31" s="48" t="str">
        <f>IFERROR(VLOOKUP(1,GroupG[#All],2,FALSE),"1G")</f>
        <v>1G</v>
      </c>
      <c r="H31" s="41"/>
      <c r="I31" s="41"/>
      <c r="J31" s="47" t="str">
        <f>IFERROR(VLOOKUP(2,GroupH[#All],2,FALSE),"2H")</f>
        <v>2H</v>
      </c>
    </row>
    <row r="32" spans="2:10" x14ac:dyDescent="0.25">
      <c r="C32" s="36">
        <v>55</v>
      </c>
      <c r="D32" s="36" t="s">
        <v>100</v>
      </c>
      <c r="E32" s="61">
        <v>0.29166666666666669</v>
      </c>
      <c r="F32" s="39" t="s">
        <v>53</v>
      </c>
      <c r="G32" s="46" t="str">
        <f>IFERROR(VLOOKUP(1,GroupF[#All],2,FALSE),"1F")</f>
        <v>1F</v>
      </c>
      <c r="H32" s="36"/>
      <c r="I32" s="36"/>
      <c r="J32" s="49" t="str">
        <f>IFERROR(VLOOKUP(2,GroupE[#All],2,FALSE),"2E")</f>
        <v>2E</v>
      </c>
    </row>
    <row r="33" spans="2:10" ht="15.75" thickBot="1" x14ac:dyDescent="0.3">
      <c r="C33" s="41">
        <v>56</v>
      </c>
      <c r="D33" s="41" t="s">
        <v>100</v>
      </c>
      <c r="E33" s="62">
        <v>0.47916666666666669</v>
      </c>
      <c r="F33" s="40" t="s">
        <v>43</v>
      </c>
      <c r="G33" s="50" t="str">
        <f>IFERROR(VLOOKUP(1,GroupH[#All],2,FALSE),"1H")</f>
        <v>1H</v>
      </c>
      <c r="H33" s="51"/>
      <c r="I33" s="51"/>
      <c r="J33" s="52" t="str">
        <f>IFERROR(VLOOKUP(2,GroupG[#All],2,FALSE),"2G")</f>
        <v>2G</v>
      </c>
    </row>
    <row r="34" spans="2:10" x14ac:dyDescent="0.25">
      <c r="H34" s="3"/>
      <c r="I34" s="3"/>
    </row>
    <row r="35" spans="2:10" ht="21" x14ac:dyDescent="0.35">
      <c r="B35" s="53" t="s">
        <v>102</v>
      </c>
      <c r="H35" s="3"/>
      <c r="I35" s="3"/>
    </row>
    <row r="36" spans="2:10" ht="15.75" thickBot="1" x14ac:dyDescent="0.3">
      <c r="C36" s="56" t="s">
        <v>40</v>
      </c>
      <c r="D36" s="56" t="s">
        <v>87</v>
      </c>
      <c r="E36" s="56" t="s">
        <v>96</v>
      </c>
      <c r="F36" s="56" t="s">
        <v>41</v>
      </c>
      <c r="G36" s="37" t="s">
        <v>60</v>
      </c>
      <c r="H36" s="38" t="s">
        <v>62</v>
      </c>
      <c r="I36" s="38" t="s">
        <v>63</v>
      </c>
      <c r="J36" s="37" t="s">
        <v>61</v>
      </c>
    </row>
    <row r="37" spans="2:10" x14ac:dyDescent="0.25">
      <c r="C37" s="36">
        <v>57</v>
      </c>
      <c r="D37" s="36" t="s">
        <v>103</v>
      </c>
      <c r="E37" s="61">
        <v>0.29166666666666669</v>
      </c>
      <c r="F37" s="39" t="s">
        <v>50</v>
      </c>
      <c r="G37" s="43" t="str">
        <f>IF(H30&gt;I30,G30,IF(I30&gt;H30,J30,"W53"))</f>
        <v>W53</v>
      </c>
      <c r="H37" s="44"/>
      <c r="I37" s="44"/>
      <c r="J37" s="45" t="str">
        <f>IF(H31&gt;I31,G31,IF(I31&gt;H31,J31,"W54"))</f>
        <v>W54</v>
      </c>
    </row>
    <row r="38" spans="2:10" x14ac:dyDescent="0.25">
      <c r="C38" s="41">
        <v>58</v>
      </c>
      <c r="D38" s="41" t="s">
        <v>103</v>
      </c>
      <c r="E38" s="62">
        <v>0.47916666666666669</v>
      </c>
      <c r="F38" s="40" t="s">
        <v>101</v>
      </c>
      <c r="G38" s="46" t="str">
        <f>IF(H26&gt;I26,G26,IF(I26&gt;H26,J26,"W49"))</f>
        <v>W49</v>
      </c>
      <c r="H38" s="41"/>
      <c r="I38" s="41"/>
      <c r="J38" s="47" t="str">
        <f>IF(H27&gt;I27,G27,IF(I27&gt;H27,J27,"W50"))</f>
        <v>W50</v>
      </c>
    </row>
    <row r="39" spans="2:10" x14ac:dyDescent="0.25">
      <c r="C39" s="36">
        <v>59</v>
      </c>
      <c r="D39" s="36" t="s">
        <v>104</v>
      </c>
      <c r="E39" s="61">
        <v>0.29166666666666669</v>
      </c>
      <c r="F39" s="39" t="s">
        <v>43</v>
      </c>
      <c r="G39" s="48" t="str">
        <f>IF(H29&gt;I29,G29,IF(I29&gt;H29,J29,"W52"))</f>
        <v>W52</v>
      </c>
      <c r="H39" s="36"/>
      <c r="I39" s="36"/>
      <c r="J39" s="49" t="str">
        <f>IF(H28&gt;I28,G28,IF(I28&gt;H28,J28,"W51"))</f>
        <v>W51</v>
      </c>
    </row>
    <row r="40" spans="2:10" ht="15.75" thickBot="1" x14ac:dyDescent="0.3">
      <c r="C40" s="41">
        <v>60</v>
      </c>
      <c r="D40" s="41" t="s">
        <v>104</v>
      </c>
      <c r="E40" s="62">
        <v>0.47916666666666669</v>
      </c>
      <c r="F40" s="40" t="s">
        <v>101</v>
      </c>
      <c r="G40" s="50" t="str">
        <f>IF(H32&gt;I32,G32,IF(I32&gt;H32,J32,"W55"))</f>
        <v>W55</v>
      </c>
      <c r="H40" s="51"/>
      <c r="I40" s="51"/>
      <c r="J40" s="52" t="str">
        <f>IF(H33&gt;I33,G33,IF(I33&gt;H33,J33,"W56"))</f>
        <v>W56</v>
      </c>
    </row>
    <row r="41" spans="2:10" x14ac:dyDescent="0.25">
      <c r="C41" s="57"/>
      <c r="D41" s="57"/>
      <c r="E41" s="57"/>
      <c r="F41" s="54"/>
      <c r="G41" s="57"/>
      <c r="H41" s="57"/>
      <c r="I41" s="57"/>
      <c r="J41" s="57"/>
    </row>
    <row r="42" spans="2:10" ht="21" x14ac:dyDescent="0.35">
      <c r="B42" s="53" t="s">
        <v>105</v>
      </c>
      <c r="C42" s="57"/>
      <c r="D42" s="57"/>
      <c r="E42" s="57"/>
      <c r="F42" s="54"/>
      <c r="G42" s="57"/>
      <c r="H42" s="57"/>
      <c r="I42" s="57"/>
      <c r="J42" s="57"/>
    </row>
    <row r="43" spans="2:10" ht="15.75" thickBot="1" x14ac:dyDescent="0.3">
      <c r="C43" s="56" t="s">
        <v>40</v>
      </c>
      <c r="D43" s="56" t="s">
        <v>87</v>
      </c>
      <c r="E43" s="56" t="s">
        <v>96</v>
      </c>
      <c r="F43" s="56" t="s">
        <v>41</v>
      </c>
      <c r="G43" s="38" t="s">
        <v>60</v>
      </c>
      <c r="H43" s="38" t="s">
        <v>62</v>
      </c>
      <c r="I43" s="38" t="s">
        <v>63</v>
      </c>
      <c r="J43" s="38" t="s">
        <v>61</v>
      </c>
    </row>
    <row r="44" spans="2:10" x14ac:dyDescent="0.25">
      <c r="C44" s="36">
        <v>61</v>
      </c>
      <c r="D44" s="36" t="s">
        <v>109</v>
      </c>
      <c r="E44" s="61">
        <v>0.47916666666666669</v>
      </c>
      <c r="F44" s="39" t="s">
        <v>43</v>
      </c>
      <c r="G44" s="43" t="str">
        <f>IF(H38&gt;I38,G38,IF(I38&gt;H38,J38,"W58"))</f>
        <v>W58</v>
      </c>
      <c r="H44" s="44"/>
      <c r="I44" s="44"/>
      <c r="J44" s="45" t="str">
        <f>IF(H37&gt;I37,G37,IF(I37&gt;H37,J37,"W57"))</f>
        <v>W57</v>
      </c>
    </row>
    <row r="45" spans="2:10" ht="15.75" thickBot="1" x14ac:dyDescent="0.3">
      <c r="C45" s="41">
        <v>62</v>
      </c>
      <c r="D45" s="41" t="s">
        <v>110</v>
      </c>
      <c r="E45" s="62">
        <v>0.47916666666666669</v>
      </c>
      <c r="F45" s="40" t="s">
        <v>51</v>
      </c>
      <c r="G45" s="64" t="str">
        <f>IF(H39&gt;I39,G39,IF(I39&gt;H39,J39,"W59"))</f>
        <v>W59</v>
      </c>
      <c r="H45" s="51"/>
      <c r="I45" s="51"/>
      <c r="J45" s="52" t="str">
        <f>IF(H40&gt;I40,G40,IF(I40&gt;H40,J40,"W60"))</f>
        <v>W60</v>
      </c>
    </row>
    <row r="46" spans="2:10" s="2" customFormat="1" x14ac:dyDescent="0.25">
      <c r="C46" s="41"/>
      <c r="D46" s="41"/>
      <c r="E46" s="62"/>
      <c r="F46" s="40"/>
      <c r="G46" s="57"/>
      <c r="H46" s="41"/>
      <c r="I46" s="41"/>
      <c r="J46" s="41"/>
    </row>
    <row r="47" spans="2:10" ht="21" x14ac:dyDescent="0.35">
      <c r="B47" s="53" t="s">
        <v>106</v>
      </c>
      <c r="C47" s="57"/>
      <c r="D47" s="57"/>
      <c r="E47" s="57"/>
      <c r="F47" s="54"/>
      <c r="G47" s="57"/>
      <c r="H47" s="57"/>
      <c r="I47" s="57"/>
      <c r="J47" s="57"/>
    </row>
    <row r="48" spans="2:10" ht="15.75" thickBot="1" x14ac:dyDescent="0.3">
      <c r="C48" s="56" t="s">
        <v>40</v>
      </c>
      <c r="D48" s="56" t="s">
        <v>87</v>
      </c>
      <c r="E48" s="56" t="s">
        <v>96</v>
      </c>
      <c r="F48" s="55" t="s">
        <v>41</v>
      </c>
      <c r="G48" s="38" t="s">
        <v>60</v>
      </c>
      <c r="H48" s="38" t="s">
        <v>62</v>
      </c>
      <c r="I48" s="38" t="s">
        <v>63</v>
      </c>
      <c r="J48" s="38" t="s">
        <v>61</v>
      </c>
    </row>
    <row r="49" spans="2:10" ht="15.75" thickBot="1" x14ac:dyDescent="0.3">
      <c r="C49" s="36">
        <v>63</v>
      </c>
      <c r="D49" s="36" t="s">
        <v>111</v>
      </c>
      <c r="E49" s="61">
        <v>0.47916666666666669</v>
      </c>
      <c r="F49" s="39" t="s">
        <v>50</v>
      </c>
      <c r="G49" s="65" t="str">
        <f>IF(H44&gt;I44,J44,IF(I44&gt;H44,G44,"L61"))</f>
        <v>L61</v>
      </c>
      <c r="H49" s="58"/>
      <c r="I49" s="66"/>
      <c r="J49" s="67" t="str">
        <f>IF(H45&gt;I45,J45,IF(I45&gt;H45,G45,"L62"))</f>
        <v>L62</v>
      </c>
    </row>
    <row r="50" spans="2:10" x14ac:dyDescent="0.25">
      <c r="C50" s="57"/>
      <c r="D50" s="57"/>
      <c r="E50" s="57"/>
      <c r="F50" s="54"/>
      <c r="G50" s="57"/>
      <c r="H50" s="57"/>
      <c r="I50" s="57"/>
      <c r="J50" s="57"/>
    </row>
    <row r="51" spans="2:10" ht="21" x14ac:dyDescent="0.35">
      <c r="B51" s="53" t="s">
        <v>107</v>
      </c>
      <c r="C51" s="57"/>
      <c r="D51" s="57"/>
      <c r="E51" s="57"/>
      <c r="F51" s="54"/>
      <c r="G51" s="57"/>
      <c r="H51" s="57"/>
      <c r="I51" s="57"/>
      <c r="J51" s="57"/>
    </row>
    <row r="52" spans="2:10" ht="15.75" thickBot="1" x14ac:dyDescent="0.3">
      <c r="C52" s="56" t="s">
        <v>40</v>
      </c>
      <c r="D52" s="56" t="s">
        <v>87</v>
      </c>
      <c r="E52" s="56" t="s">
        <v>96</v>
      </c>
      <c r="F52" s="56" t="s">
        <v>41</v>
      </c>
      <c r="G52" s="38" t="s">
        <v>60</v>
      </c>
      <c r="H52" s="38" t="s">
        <v>62</v>
      </c>
      <c r="I52" s="38" t="s">
        <v>63</v>
      </c>
      <c r="J52" s="38" t="s">
        <v>61</v>
      </c>
    </row>
    <row r="53" spans="2:10" ht="15.75" thickBot="1" x14ac:dyDescent="0.3">
      <c r="C53" s="36">
        <v>64</v>
      </c>
      <c r="D53" s="36" t="s">
        <v>112</v>
      </c>
      <c r="E53" s="61">
        <v>0.47916666666666669</v>
      </c>
      <c r="F53" s="39" t="s">
        <v>101</v>
      </c>
      <c r="G53" s="65" t="str">
        <f>IF(H44&gt;I44,G44,IF(I44&gt;H44,J44,"W61"))</f>
        <v>W61</v>
      </c>
      <c r="H53" s="58"/>
      <c r="I53" s="58"/>
      <c r="J53" s="67" t="str">
        <f>IF(H45&gt;I45,G45,IF(I45&gt;H45,J45,"W62"))</f>
        <v>W62</v>
      </c>
    </row>
    <row r="56" spans="2:10" ht="15.75" thickBot="1" x14ac:dyDescent="0.3"/>
    <row r="57" spans="2:10" ht="19.5" thickBot="1" x14ac:dyDescent="0.35">
      <c r="C57" s="59" t="s">
        <v>108</v>
      </c>
      <c r="D57" s="60"/>
      <c r="E57" s="60"/>
      <c r="F57" s="76" t="str">
        <f>IF(H53&gt;I53,G53,IF(I53&gt;H53,J53:J53,"World Cup Champion"))</f>
        <v>World Cup Champion</v>
      </c>
    </row>
  </sheetData>
  <conditionalFormatting sqref="I26:I33 I37:I40 I44:I46">
    <cfRule type="expression" dxfId="84" priority="32" stopIfTrue="1">
      <formula>I26&lt;H26</formula>
    </cfRule>
    <cfRule type="expression" dxfId="83" priority="33" stopIfTrue="1">
      <formula>I26&gt;H26</formula>
    </cfRule>
  </conditionalFormatting>
  <conditionalFormatting sqref="H26:H33 H37:H40 H49 H44:H46">
    <cfRule type="expression" dxfId="82" priority="35" stopIfTrue="1">
      <formula>H26&lt;I26</formula>
    </cfRule>
    <cfRule type="expression" dxfId="81" priority="36" stopIfTrue="1">
      <formula>H26&gt;I26</formula>
    </cfRule>
  </conditionalFormatting>
  <conditionalFormatting sqref="H26:I33 H37:I40 H44:I45 H49:I49 H53:I53">
    <cfRule type="containsBlanks" dxfId="80" priority="1">
      <formula>LEN(TRIM(H26))=0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Q59"/>
  <sheetViews>
    <sheetView showGridLines="0" zoomScale="70" zoomScaleNormal="70" workbookViewId="0">
      <selection activeCell="F80" sqref="F80"/>
    </sheetView>
  </sheetViews>
  <sheetFormatPr defaultRowHeight="15" x14ac:dyDescent="0.25"/>
  <cols>
    <col min="2" max="2" width="11.85546875" style="2" bestFit="1" customWidth="1"/>
    <col min="3" max="3" width="14.42578125" hidden="1" customWidth="1"/>
    <col min="4" max="4" width="19.28515625" bestFit="1" customWidth="1"/>
    <col min="9" max="9" width="11.7109375" bestFit="1" customWidth="1"/>
    <col min="10" max="10" width="12" bestFit="1" customWidth="1"/>
    <col min="11" max="11" width="18.5703125" customWidth="1"/>
    <col min="12" max="12" width="18.5703125" hidden="1" customWidth="1"/>
  </cols>
  <sheetData>
    <row r="4" spans="1:12" ht="21" x14ac:dyDescent="0.35">
      <c r="B4" s="13" t="s">
        <v>39</v>
      </c>
    </row>
    <row r="5" spans="1:12" ht="15.75" thickBot="1" x14ac:dyDescent="0.3">
      <c r="B5" s="69"/>
      <c r="C5" s="14" t="s">
        <v>37</v>
      </c>
      <c r="D5" s="14" t="s">
        <v>36</v>
      </c>
      <c r="E5" s="14" t="s">
        <v>0</v>
      </c>
      <c r="F5" s="14" t="s">
        <v>1</v>
      </c>
      <c r="G5" s="14" t="s">
        <v>2</v>
      </c>
      <c r="H5" s="14" t="s">
        <v>3</v>
      </c>
      <c r="I5" s="14" t="s">
        <v>4</v>
      </c>
      <c r="J5" s="14" t="s">
        <v>94</v>
      </c>
      <c r="K5" s="23" t="s">
        <v>5</v>
      </c>
      <c r="L5" s="5" t="s">
        <v>117</v>
      </c>
    </row>
    <row r="6" spans="1:12" x14ac:dyDescent="0.25">
      <c r="B6" s="70"/>
      <c r="C6" s="72">
        <f>IF(AND(IF(GroupA[[#This Row],[GD]]=0,TRUE,FALSE),IF(GroupA[[#This Row],[Pts]]=0,TRUE,FALSE)),99,RANK(GroupA[[#This Row],[Tie Breaker]],GroupA[Tie Breaker]))</f>
        <v>99</v>
      </c>
      <c r="D6" s="27" t="s">
        <v>10</v>
      </c>
      <c r="E6" s="18">
        <f>COUNTIF(GroupStages[Winner],GroupA[[#This Row],[Country]])</f>
        <v>0</v>
      </c>
      <c r="F6" s="18">
        <f>COUNTIF(GroupStages[Draw1],GroupA[[#This Row],[Country]])+COUNTIF(GroupStages[Draw2],GroupA[[#This Row],[Country]])</f>
        <v>0</v>
      </c>
      <c r="G6" s="18">
        <f>COUNTIF(GroupStages[Loser],GroupA[[#This Row],[Country]])</f>
        <v>0</v>
      </c>
      <c r="H6" s="18">
        <f>SUMIF(GroupStages[TeamA],GroupA[[#This Row],[Country]],GroupStages[ScoreA])+SUMIF(GroupStages[TeamB],GroupA[[#This Row],[Country]],GroupStages[ScoreB])</f>
        <v>0</v>
      </c>
      <c r="I6" s="18">
        <f>SUMIF(GroupStages[TeamA],GroupA[[#This Row],[Country]],GroupStages[ScoreB])+SUMIF(GroupStages[TeamB],GroupA[[#This Row],[Country]],GroupStages[ScoreA])</f>
        <v>0</v>
      </c>
      <c r="J6" s="19">
        <f>GroupA[[#This Row],[GF]]-GroupA[[#This Row],[GA]]</f>
        <v>0</v>
      </c>
      <c r="K6" s="18">
        <f>(GroupA[[#This Row],[W]]*3)+GroupA[[#This Row],[D]]</f>
        <v>0</v>
      </c>
      <c r="L6" s="5">
        <f>GroupA[[#This Row],[Pts]]+(GroupA[[#This Row],[GD]]/100)</f>
        <v>0</v>
      </c>
    </row>
    <row r="7" spans="1:12" x14ac:dyDescent="0.25">
      <c r="B7" s="70"/>
      <c r="C7" s="72">
        <f>IF(AND(IF(GroupA[[#This Row],[GD]]=0,TRUE,FALSE),IF(GroupA[[#This Row],[Pts]]=0,TRUE,FALSE)),99,RANK(GroupA[[#This Row],[Tie Breaker]],GroupA[Tie Breaker]))</f>
        <v>99</v>
      </c>
      <c r="D7" s="28" t="s">
        <v>29</v>
      </c>
      <c r="E7" s="9">
        <f>COUNTIF(GroupStages[Winner],GroupA[[#This Row],[Country]])</f>
        <v>0</v>
      </c>
      <c r="F7" s="9">
        <f>COUNTIF(GroupStages[Draw1],GroupA[[#This Row],[Country]])+COUNTIF(GroupStages[Draw2],GroupA[[#This Row],[Country]])</f>
        <v>0</v>
      </c>
      <c r="G7" s="9">
        <f>COUNTIF(GroupStages[Loser],GroupA[[#This Row],[Country]])</f>
        <v>0</v>
      </c>
      <c r="H7" s="9">
        <f>SUMIF(GroupStages[TeamA],GroupA[[#This Row],[Country]],GroupStages[ScoreA])+SUMIF(GroupStages[TeamB],GroupA[[#This Row],[Country]],GroupStages[ScoreB])</f>
        <v>0</v>
      </c>
      <c r="I7" s="9">
        <f>SUMIF(GroupStages[TeamA],GroupA[[#This Row],[Country]],GroupStages[ScoreB])+SUMIF(GroupStages[TeamB],GroupA[[#This Row],[Country]],GroupStages[ScoreA])</f>
        <v>0</v>
      </c>
      <c r="J7" s="20">
        <f>GroupA[[#This Row],[GF]]-GroupA[[#This Row],[GA]]</f>
        <v>0</v>
      </c>
      <c r="K7" s="9">
        <f>(GroupA[[#This Row],[W]]*3)+GroupA[[#This Row],[D]]</f>
        <v>0</v>
      </c>
      <c r="L7" s="5">
        <f>GroupA[[#This Row],[Pts]]+(GroupA[[#This Row],[GD]]/100)</f>
        <v>0</v>
      </c>
    </row>
    <row r="8" spans="1:12" x14ac:dyDescent="0.25">
      <c r="B8" s="70"/>
      <c r="C8" s="72">
        <f>IF(AND(IF(GroupA[[#This Row],[GD]]=0,TRUE,FALSE),IF(GroupA[[#This Row],[Pts]]=0,TRUE,FALSE)),99,RANK(GroupA[[#This Row],[Tie Breaker]],GroupA[Tie Breaker]))</f>
        <v>99</v>
      </c>
      <c r="D8" s="28" t="s">
        <v>15</v>
      </c>
      <c r="E8" s="9">
        <f>COUNTIF(GroupStages[Winner],GroupA[[#This Row],[Country]])</f>
        <v>0</v>
      </c>
      <c r="F8" s="9">
        <f>COUNTIF(GroupStages[Draw1],GroupA[[#This Row],[Country]])+COUNTIF(GroupStages[Draw2],GroupA[[#This Row],[Country]])</f>
        <v>0</v>
      </c>
      <c r="G8" s="9">
        <f>COUNTIF(GroupStages[Loser],GroupA[[#This Row],[Country]])</f>
        <v>0</v>
      </c>
      <c r="H8" s="9">
        <f>SUMIF(GroupStages[TeamA],GroupA[[#This Row],[Country]],GroupStages[ScoreA])+SUMIF(GroupStages[TeamB],GroupA[[#This Row],[Country]],GroupStages[ScoreB])</f>
        <v>0</v>
      </c>
      <c r="I8" s="9">
        <f>SUMIF(GroupStages[TeamA],GroupA[[#This Row],[Country]],GroupStages[ScoreB])+SUMIF(GroupStages[TeamB],GroupA[[#This Row],[Country]],GroupStages[ScoreA])</f>
        <v>0</v>
      </c>
      <c r="J8" s="20">
        <f>GroupA[[#This Row],[GF]]-GroupA[[#This Row],[GA]]</f>
        <v>0</v>
      </c>
      <c r="K8" s="9">
        <f>(GroupA[[#This Row],[W]]*3)+GroupA[[#This Row],[D]]</f>
        <v>0</v>
      </c>
      <c r="L8" s="5">
        <f>GroupA[[#This Row],[Pts]]+(GroupA[[#This Row],[GD]]/100)</f>
        <v>0</v>
      </c>
    </row>
    <row r="9" spans="1:12" ht="15.75" thickBot="1" x14ac:dyDescent="0.3">
      <c r="B9" s="70"/>
      <c r="C9" s="72">
        <f>IF(AND(IF(GroupA[[#This Row],[GD]]=0,TRUE,FALSE),IF(GroupA[[#This Row],[Pts]]=0,TRUE,FALSE)),99,RANK(GroupA[[#This Row],[Tie Breaker]],GroupA[Tie Breaker]))</f>
        <v>99</v>
      </c>
      <c r="D9" s="29" t="s">
        <v>16</v>
      </c>
      <c r="E9" s="21">
        <f>COUNTIF(GroupStages[Winner],GroupA[[#This Row],[Country]])</f>
        <v>0</v>
      </c>
      <c r="F9" s="21">
        <f>COUNTIF(GroupStages[Draw1],GroupA[[#This Row],[Country]])+COUNTIF(GroupStages[Draw2],GroupA[[#This Row],[Country]])</f>
        <v>0</v>
      </c>
      <c r="G9" s="21">
        <f>COUNTIF(GroupStages[Loser],GroupA[[#This Row],[Country]])</f>
        <v>0</v>
      </c>
      <c r="H9" s="21">
        <f>SUMIF(GroupStages[TeamA],GroupA[[#This Row],[Country]],GroupStages[ScoreA])+SUMIF(GroupStages[TeamB],GroupA[[#This Row],[Country]],GroupStages[ScoreB])</f>
        <v>0</v>
      </c>
      <c r="I9" s="21">
        <f>SUMIF(GroupStages[TeamA],GroupA[[#This Row],[Country]],GroupStages[ScoreB])+SUMIF(GroupStages[TeamB],GroupA[[#This Row],[Country]],GroupStages[ScoreA])</f>
        <v>0</v>
      </c>
      <c r="J9" s="22">
        <f>GroupA[[#This Row],[GF]]-GroupA[[#This Row],[GA]]</f>
        <v>0</v>
      </c>
      <c r="K9" s="21">
        <f>(GroupA[[#This Row],[W]]*3)+GroupA[[#This Row],[D]]</f>
        <v>0</v>
      </c>
      <c r="L9" s="5">
        <f>GroupA[[#This Row],[Pts]]+(GroupA[[#This Row],[GD]]/100)</f>
        <v>0</v>
      </c>
    </row>
    <row r="10" spans="1:12" x14ac:dyDescent="0.25">
      <c r="D10" s="3"/>
      <c r="E10" s="3"/>
      <c r="F10" s="3"/>
      <c r="G10" s="3"/>
      <c r="H10" s="3"/>
      <c r="I10" s="3"/>
      <c r="J10" s="3"/>
      <c r="L10" s="2"/>
    </row>
    <row r="11" spans="1:12" ht="21" x14ac:dyDescent="0.35">
      <c r="B11" s="13" t="s">
        <v>48</v>
      </c>
      <c r="C11" s="1"/>
      <c r="D11" s="3"/>
      <c r="E11" s="3"/>
      <c r="F11" s="3"/>
      <c r="G11" s="3"/>
      <c r="H11" s="3"/>
      <c r="I11" s="3"/>
      <c r="J11" s="3"/>
      <c r="L11" s="2"/>
    </row>
    <row r="12" spans="1:12" ht="15.75" thickBot="1" x14ac:dyDescent="0.3">
      <c r="A12" s="1"/>
      <c r="B12" s="71"/>
      <c r="C12" s="14" t="s">
        <v>37</v>
      </c>
      <c r="D12" s="14" t="s">
        <v>36</v>
      </c>
      <c r="E12" s="23" t="s">
        <v>0</v>
      </c>
      <c r="F12" s="23" t="s">
        <v>1</v>
      </c>
      <c r="G12" s="23" t="s">
        <v>2</v>
      </c>
      <c r="H12" s="23" t="s">
        <v>3</v>
      </c>
      <c r="I12" s="23" t="s">
        <v>4</v>
      </c>
      <c r="J12" s="23" t="s">
        <v>94</v>
      </c>
      <c r="K12" s="23" t="s">
        <v>5</v>
      </c>
      <c r="L12" s="5" t="s">
        <v>117</v>
      </c>
    </row>
    <row r="13" spans="1:12" x14ac:dyDescent="0.25">
      <c r="A13" s="1"/>
      <c r="B13" s="70"/>
      <c r="C13" s="72">
        <f>IF(AND(IF(GroupB[[#This Row],[GD]]=0,TRUE,FALSE),IF(GroupB[[#This Row],[Pts]]=0,TRUE,FALSE)),99,RANK(GroupB[[#This Row],[Tie Breaker]],GroupB[Tie Breaker]))</f>
        <v>99</v>
      </c>
      <c r="D13" s="27" t="s">
        <v>9</v>
      </c>
      <c r="E13" s="18">
        <f>COUNTIF(GroupStages[Winner],GroupB[[#This Row],[Country]])</f>
        <v>0</v>
      </c>
      <c r="F13" s="18">
        <f>COUNTIF(GroupStages[Draw1],GroupB[[#This Row],[Country]])+COUNTIF(GroupStages[Draw2],GroupB[[#This Row],[Country]])</f>
        <v>0</v>
      </c>
      <c r="G13" s="18">
        <f>COUNTIF(GroupStages[Loser],GroupB[[#This Row],[Country]])</f>
        <v>0</v>
      </c>
      <c r="H13" s="18">
        <f>SUMIF(GroupStages[TeamA],GroupB[[#This Row],[Country]],GroupStages[ScoreA])+SUMIF(GroupStages[TeamB],GroupB[[#This Row],[Country]],GroupStages[ScoreB])</f>
        <v>0</v>
      </c>
      <c r="I13" s="18">
        <f>SUMIF(GroupStages[TeamA],GroupB[[#This Row],[Country]],GroupStages[ScoreB])+SUMIF(GroupStages[TeamB],GroupB[[#This Row],[Country]],GroupStages[ScoreA])</f>
        <v>0</v>
      </c>
      <c r="J13" s="24">
        <f>GroupB[[#This Row],[GF]]-GroupB[[#This Row],[GA]]</f>
        <v>0</v>
      </c>
      <c r="K13" s="18">
        <f>(GroupB[[#This Row],[W]]*3)+GroupB[[#This Row],[D]]</f>
        <v>0</v>
      </c>
      <c r="L13" s="5">
        <f>GroupB[[#This Row],[Pts]]+(GroupB[[#This Row],[GD]]/100)</f>
        <v>0</v>
      </c>
    </row>
    <row r="14" spans="1:12" x14ac:dyDescent="0.25">
      <c r="A14" s="1"/>
      <c r="B14" s="70"/>
      <c r="C14" s="72">
        <f>IF(AND(IF(GroupB[[#This Row],[GD]]=0,TRUE,FALSE),IF(GroupB[[#This Row],[Pts]]=0,TRUE,FALSE)),99,RANK(GroupB[[#This Row],[Tie Breaker]],GroupB[Tie Breaker]))</f>
        <v>99</v>
      </c>
      <c r="D14" s="28" t="s">
        <v>25</v>
      </c>
      <c r="E14" s="9">
        <f>COUNTIF(GroupStages[Winner],GroupB[[#This Row],[Country]])</f>
        <v>0</v>
      </c>
      <c r="F14" s="9">
        <f>COUNTIF(GroupStages[Draw1],GroupB[[#This Row],[Country]])+COUNTIF(GroupStages[Draw2],GroupB[[#This Row],[Country]])</f>
        <v>0</v>
      </c>
      <c r="G14" s="9">
        <f>COUNTIF(GroupStages[Loser],GroupB[[#This Row],[Country]])</f>
        <v>0</v>
      </c>
      <c r="H14" s="9">
        <f>SUMIF(GroupStages[TeamA],GroupB[[#This Row],[Country]],GroupStages[ScoreA])+SUMIF(GroupStages[TeamB],GroupB[[#This Row],[Country]],GroupStages[ScoreB])</f>
        <v>0</v>
      </c>
      <c r="I14" s="9">
        <f>SUMIF(GroupStages[TeamA],GroupB[[#This Row],[Country]],GroupStages[ScoreB])+SUMIF(GroupStages[TeamB],GroupB[[#This Row],[Country]],GroupStages[ScoreA])</f>
        <v>0</v>
      </c>
      <c r="J14" s="25">
        <f>GroupB[[#This Row],[GF]]-GroupB[[#This Row],[GA]]</f>
        <v>0</v>
      </c>
      <c r="K14" s="9">
        <f>(GroupB[[#This Row],[W]]*3)+GroupB[[#This Row],[D]]</f>
        <v>0</v>
      </c>
      <c r="L14" s="5">
        <f>GroupB[[#This Row],[Pts]]+(GroupB[[#This Row],[GD]]/100)</f>
        <v>0</v>
      </c>
    </row>
    <row r="15" spans="1:12" x14ac:dyDescent="0.25">
      <c r="A15" s="1"/>
      <c r="B15" s="70"/>
      <c r="C15" s="72">
        <f>IF(AND(IF(GroupB[[#This Row],[GD]]=0,TRUE,FALSE),IF(GroupB[[#This Row],[Pts]]=0,TRUE,FALSE)),99,RANK(GroupB[[#This Row],[Tie Breaker]],GroupB[Tie Breaker]))</f>
        <v>99</v>
      </c>
      <c r="D15" s="28" t="s">
        <v>35</v>
      </c>
      <c r="E15" s="9">
        <f>COUNTIF(GroupStages[Winner],GroupB[[#This Row],[Country]])</f>
        <v>0</v>
      </c>
      <c r="F15" s="9">
        <f>COUNTIF(GroupStages[Draw1],GroupB[[#This Row],[Country]])+COUNTIF(GroupStages[Draw2],GroupB[[#This Row],[Country]])</f>
        <v>0</v>
      </c>
      <c r="G15" s="9">
        <f>COUNTIF(GroupStages[Loser],GroupB[[#This Row],[Country]])</f>
        <v>0</v>
      </c>
      <c r="H15" s="9">
        <f>SUMIF(GroupStages[TeamA],GroupB[[#This Row],[Country]],GroupStages[ScoreA])+SUMIF(GroupStages[TeamB],GroupB[[#This Row],[Country]],GroupStages[ScoreB])</f>
        <v>0</v>
      </c>
      <c r="I15" s="9">
        <f>SUMIF(GroupStages[TeamA],GroupB[[#This Row],[Country]],GroupStages[ScoreB])+SUMIF(GroupStages[TeamB],GroupB[[#This Row],[Country]],GroupStages[ScoreA])</f>
        <v>0</v>
      </c>
      <c r="J15" s="25">
        <f>GroupB[[#This Row],[GF]]-GroupB[[#This Row],[GA]]</f>
        <v>0</v>
      </c>
      <c r="K15" s="9">
        <f>(GroupB[[#This Row],[W]]*3)+GroupB[[#This Row],[D]]</f>
        <v>0</v>
      </c>
      <c r="L15" s="5">
        <f>GroupB[[#This Row],[Pts]]+(GroupB[[#This Row],[GD]]/100)</f>
        <v>0</v>
      </c>
    </row>
    <row r="16" spans="1:12" ht="15.75" thickBot="1" x14ac:dyDescent="0.3">
      <c r="A16" s="1"/>
      <c r="B16" s="70"/>
      <c r="C16" s="72">
        <f>IF(AND(IF(GroupB[[#This Row],[GD]]=0,TRUE,FALSE),IF(GroupB[[#This Row],[Pts]]=0,TRUE,FALSE)),99,RANK(GroupB[[#This Row],[Tie Breaker]],GroupB[Tie Breaker]))</f>
        <v>99</v>
      </c>
      <c r="D16" s="29" t="s">
        <v>24</v>
      </c>
      <c r="E16" s="21">
        <f>COUNTIF(GroupStages[Winner],GroupB[[#This Row],[Country]])</f>
        <v>0</v>
      </c>
      <c r="F16" s="21">
        <f>COUNTIF(GroupStages[Draw1],GroupB[[#This Row],[Country]])+COUNTIF(GroupStages[Draw2],GroupB[[#This Row],[Country]])</f>
        <v>0</v>
      </c>
      <c r="G16" s="21">
        <f>COUNTIF(GroupStages[Loser],GroupB[[#This Row],[Country]])</f>
        <v>0</v>
      </c>
      <c r="H16" s="21">
        <f>SUMIF(GroupStages[TeamA],GroupB[[#This Row],[Country]],GroupStages[ScoreA])+SUMIF(GroupStages[TeamB],GroupB[[#This Row],[Country]],GroupStages[ScoreB])</f>
        <v>0</v>
      </c>
      <c r="I16" s="21">
        <f>SUMIF(GroupStages[TeamA],GroupB[[#This Row],[Country]],GroupStages[ScoreB])+SUMIF(GroupStages[TeamB],GroupB[[#This Row],[Country]],GroupStages[ScoreA])</f>
        <v>0</v>
      </c>
      <c r="J16" s="26">
        <f>GroupB[[#This Row],[GF]]-GroupB[[#This Row],[GA]]</f>
        <v>0</v>
      </c>
      <c r="K16" s="21">
        <f>(GroupB[[#This Row],[W]]*3)+GroupB[[#This Row],[D]]</f>
        <v>0</v>
      </c>
      <c r="L16" s="5">
        <f>GroupB[[#This Row],[Pts]]+(GroupB[[#This Row],[GD]]/100)</f>
        <v>0</v>
      </c>
    </row>
    <row r="17" spans="1:12" x14ac:dyDescent="0.25">
      <c r="B17" s="71"/>
      <c r="D17" s="3"/>
      <c r="E17" s="3"/>
      <c r="F17" s="3"/>
      <c r="G17" s="3"/>
      <c r="H17" s="3"/>
      <c r="I17" s="3"/>
      <c r="J17" s="3"/>
    </row>
    <row r="18" spans="1:12" ht="21" x14ac:dyDescent="0.35">
      <c r="B18" s="13" t="s">
        <v>52</v>
      </c>
      <c r="C18" s="1"/>
      <c r="D18" s="3"/>
      <c r="E18" s="3"/>
      <c r="F18" s="3"/>
      <c r="G18" s="3"/>
      <c r="H18" s="3"/>
      <c r="I18" s="3"/>
      <c r="J18" s="3"/>
    </row>
    <row r="19" spans="1:12" ht="15.75" thickBot="1" x14ac:dyDescent="0.3">
      <c r="A19" s="1"/>
      <c r="B19" s="71"/>
      <c r="C19" s="14" t="s">
        <v>37</v>
      </c>
      <c r="D19" s="14" t="s">
        <v>36</v>
      </c>
      <c r="E19" s="23" t="s">
        <v>0</v>
      </c>
      <c r="F19" s="23" t="s">
        <v>1</v>
      </c>
      <c r="G19" s="23" t="s">
        <v>2</v>
      </c>
      <c r="H19" s="23" t="s">
        <v>3</v>
      </c>
      <c r="I19" s="23" t="s">
        <v>4</v>
      </c>
      <c r="J19" s="23" t="s">
        <v>94</v>
      </c>
      <c r="K19" s="23" t="s">
        <v>5</v>
      </c>
      <c r="L19" s="5" t="s">
        <v>117</v>
      </c>
    </row>
    <row r="20" spans="1:12" x14ac:dyDescent="0.25">
      <c r="A20" s="1"/>
      <c r="B20" s="70"/>
      <c r="C20" s="72">
        <f>IF(AND(IF(GroupC[[#This Row],[GD]]=0,TRUE,FALSE),IF(GroupC[[#This Row],[Pts]]=0,TRUE,FALSE)),99,RANK(GroupC[[#This Row],[Tie Breaker]],GroupC[Tie Breaker]))</f>
        <v>99</v>
      </c>
      <c r="D20" s="27" t="s">
        <v>11</v>
      </c>
      <c r="E20" s="18">
        <f>COUNTIF(GroupStages[Winner],GroupC[[#This Row],[Country]])</f>
        <v>0</v>
      </c>
      <c r="F20" s="18">
        <f>COUNTIF(GroupStages[Draw1],GroupC[[#This Row],[Country]])+COUNTIF(GroupStages[Draw2],GroupC[[#This Row],[Country]])</f>
        <v>0</v>
      </c>
      <c r="G20" s="18">
        <f>COUNTIF(GroupStages[Loser],GroupC[[#This Row],[Country]])</f>
        <v>0</v>
      </c>
      <c r="H20" s="18">
        <f>SUMIF(GroupStages[TeamA],GroupC[[#This Row],[Country]],GroupStages[ScoreA])+SUMIF(GroupStages[TeamB],GroupC[[#This Row],[Country]],GroupStages[ScoreB])</f>
        <v>0</v>
      </c>
      <c r="I20" s="18">
        <f>SUMIF(GroupStages[TeamA],GroupC[[#This Row],[Country]],GroupStages[ScoreB])+SUMIF(GroupStages[TeamB],GroupC[[#This Row],[Country]],GroupStages[ScoreA])</f>
        <v>0</v>
      </c>
      <c r="J20" s="18">
        <f>GroupC[[#This Row],[GF]]-GroupC[[#This Row],[GA]]</f>
        <v>0</v>
      </c>
      <c r="K20" s="18">
        <f>(GroupC[[#This Row],[W]]*3)+GroupC[[#This Row],[D]]</f>
        <v>0</v>
      </c>
      <c r="L20" s="15">
        <f>GroupC[[#This Row],[Pts]]+(GroupC[[#This Row],[GD]]/100)</f>
        <v>0</v>
      </c>
    </row>
    <row r="21" spans="1:12" x14ac:dyDescent="0.25">
      <c r="A21" s="1"/>
      <c r="B21" s="70"/>
      <c r="C21" s="72">
        <f>IF(AND(IF(GroupC[[#This Row],[GD]]=0,TRUE,FALSE),IF(GroupC[[#This Row],[Pts]]=0,TRUE,FALSE)),99,RANK(GroupC[[#This Row],[Tie Breaker]],GroupC[Tie Breaker]))</f>
        <v>99</v>
      </c>
      <c r="D21" s="28" t="s">
        <v>23</v>
      </c>
      <c r="E21" s="9">
        <f>COUNTIF(GroupStages[Winner],GroupC[[#This Row],[Country]])</f>
        <v>0</v>
      </c>
      <c r="F21" s="9">
        <f>COUNTIF(GroupStages[Draw1],GroupC[[#This Row],[Country]])+COUNTIF(GroupStages[Draw2],GroupC[[#This Row],[Country]])</f>
        <v>0</v>
      </c>
      <c r="G21" s="9">
        <f>COUNTIF(GroupStages[Loser],GroupC[[#This Row],[Country]])</f>
        <v>0</v>
      </c>
      <c r="H21" s="9">
        <f>SUMIF(GroupStages[TeamA],GroupC[[#This Row],[Country]],GroupStages[ScoreA])+SUMIF(GroupStages[TeamB],GroupC[[#This Row],[Country]],GroupStages[ScoreB])</f>
        <v>0</v>
      </c>
      <c r="I21" s="9">
        <f>SUMIF(GroupStages[TeamA],GroupC[[#This Row],[Country]],GroupStages[ScoreB])+SUMIF(GroupStages[TeamB],GroupC[[#This Row],[Country]],GroupStages[ScoreA])</f>
        <v>0</v>
      </c>
      <c r="J21" s="9">
        <f>GroupC[[#This Row],[GF]]-GroupC[[#This Row],[GA]]</f>
        <v>0</v>
      </c>
      <c r="K21" s="9">
        <f>(GroupC[[#This Row],[W]]*3)+GroupC[[#This Row],[D]]</f>
        <v>0</v>
      </c>
      <c r="L21" s="16">
        <f>GroupC[[#This Row],[Pts]]+(GroupC[[#This Row],[GD]]/100)</f>
        <v>0</v>
      </c>
    </row>
    <row r="22" spans="1:12" x14ac:dyDescent="0.25">
      <c r="A22" s="1"/>
      <c r="B22" s="70"/>
      <c r="C22" s="72">
        <f>IF(AND(IF(GroupC[[#This Row],[GD]]=0,TRUE,FALSE),IF(GroupC[[#This Row],[Pts]]=0,TRUE,FALSE)),99,RANK(GroupC[[#This Row],[Tie Breaker]],GroupC[Tie Breaker]))</f>
        <v>99</v>
      </c>
      <c r="D22" s="28" t="s">
        <v>27</v>
      </c>
      <c r="E22" s="9">
        <f>COUNTIF(GroupStages[Winner],GroupC[[#This Row],[Country]])</f>
        <v>0</v>
      </c>
      <c r="F22" s="9">
        <f>COUNTIF(GroupStages[Draw1],GroupC[[#This Row],[Country]])+COUNTIF(GroupStages[Draw2],GroupC[[#This Row],[Country]])</f>
        <v>0</v>
      </c>
      <c r="G22" s="9">
        <f>COUNTIF(GroupStages[Loser],GroupC[[#This Row],[Country]])</f>
        <v>0</v>
      </c>
      <c r="H22" s="9">
        <f>SUMIF(GroupStages[TeamA],GroupC[[#This Row],[Country]],GroupStages[ScoreA])+SUMIF(GroupStages[TeamB],GroupC[[#This Row],[Country]],GroupStages[ScoreB])</f>
        <v>0</v>
      </c>
      <c r="I22" s="9">
        <f>SUMIF(GroupStages[TeamA],GroupC[[#This Row],[Country]],GroupStages[ScoreB])+SUMIF(GroupStages[TeamB],GroupC[[#This Row],[Country]],GroupStages[ScoreA])</f>
        <v>0</v>
      </c>
      <c r="J22" s="9">
        <f>GroupC[[#This Row],[GF]]-GroupC[[#This Row],[GA]]</f>
        <v>0</v>
      </c>
      <c r="K22" s="9">
        <f>(GroupC[[#This Row],[W]]*3)+GroupC[[#This Row],[D]]</f>
        <v>0</v>
      </c>
      <c r="L22" s="16">
        <f>GroupC[[#This Row],[Pts]]+(GroupC[[#This Row],[GD]]/100)</f>
        <v>0</v>
      </c>
    </row>
    <row r="23" spans="1:12" ht="15.75" thickBot="1" x14ac:dyDescent="0.3">
      <c r="A23" s="1"/>
      <c r="B23" s="70"/>
      <c r="C23" s="72">
        <f>IF(AND(IF(GroupC[[#This Row],[GD]]=0,TRUE,FALSE),IF(GroupC[[#This Row],[Pts]]=0,TRUE,FALSE)),99,RANK(GroupC[[#This Row],[Tie Breaker]],GroupC[Tie Breaker]))</f>
        <v>99</v>
      </c>
      <c r="D23" s="29" t="s">
        <v>33</v>
      </c>
      <c r="E23" s="21">
        <f>COUNTIF(GroupStages[Winner],GroupC[[#This Row],[Country]])</f>
        <v>0</v>
      </c>
      <c r="F23" s="21">
        <f>COUNTIF(GroupStages[Draw1],GroupC[[#This Row],[Country]])+COUNTIF(GroupStages[Draw2],GroupC[[#This Row],[Country]])</f>
        <v>0</v>
      </c>
      <c r="G23" s="21">
        <f>COUNTIF(GroupStages[Loser],GroupC[[#This Row],[Country]])</f>
        <v>0</v>
      </c>
      <c r="H23" s="21">
        <f>SUMIF(GroupStages[TeamA],GroupC[[#This Row],[Country]],GroupStages[ScoreA])+SUMIF(GroupStages[TeamB],GroupC[[#This Row],[Country]],GroupStages[ScoreB])</f>
        <v>0</v>
      </c>
      <c r="I23" s="21">
        <f>SUMIF(GroupStages[TeamA],GroupC[[#This Row],[Country]],GroupStages[ScoreB])+SUMIF(GroupStages[TeamB],GroupC[[#This Row],[Country]],GroupStages[ScoreA])</f>
        <v>0</v>
      </c>
      <c r="J23" s="21">
        <f>GroupC[[#This Row],[GF]]-GroupC[[#This Row],[GA]]</f>
        <v>0</v>
      </c>
      <c r="K23" s="21">
        <f>(GroupC[[#This Row],[W]]*3)+GroupC[[#This Row],[D]]</f>
        <v>0</v>
      </c>
      <c r="L23" s="17">
        <f>GroupC[[#This Row],[Pts]]+(GroupC[[#This Row],[GD]]/100)</f>
        <v>0</v>
      </c>
    </row>
    <row r="24" spans="1:12" x14ac:dyDescent="0.25">
      <c r="D24" s="3"/>
      <c r="E24" s="3"/>
      <c r="F24" s="3"/>
      <c r="G24" s="3"/>
      <c r="H24" s="3"/>
      <c r="I24" s="3"/>
      <c r="J24" s="3"/>
    </row>
    <row r="25" spans="1:12" ht="21" x14ac:dyDescent="0.35">
      <c r="B25" s="13" t="s">
        <v>54</v>
      </c>
      <c r="C25" s="1"/>
      <c r="D25" s="3"/>
      <c r="E25" s="3"/>
      <c r="F25" s="3"/>
      <c r="G25" s="3"/>
      <c r="H25" s="3"/>
      <c r="I25" s="3"/>
      <c r="J25" s="3"/>
    </row>
    <row r="26" spans="1:12" ht="15.75" thickBot="1" x14ac:dyDescent="0.3">
      <c r="A26" s="1"/>
      <c r="B26" s="71"/>
      <c r="C26" s="14" t="s">
        <v>37</v>
      </c>
      <c r="D26" s="14" t="s">
        <v>36</v>
      </c>
      <c r="E26" s="23" t="s">
        <v>0</v>
      </c>
      <c r="F26" s="23" t="s">
        <v>1</v>
      </c>
      <c r="G26" s="23" t="s">
        <v>2</v>
      </c>
      <c r="H26" s="23" t="s">
        <v>3</v>
      </c>
      <c r="I26" s="23" t="s">
        <v>4</v>
      </c>
      <c r="J26" s="23" t="s">
        <v>94</v>
      </c>
      <c r="K26" s="23" t="s">
        <v>5</v>
      </c>
      <c r="L26" s="5" t="s">
        <v>117</v>
      </c>
    </row>
    <row r="27" spans="1:12" x14ac:dyDescent="0.25">
      <c r="A27" s="1"/>
      <c r="B27" s="70"/>
      <c r="C27" s="72">
        <f>IF(AND(IF(GroupD[[#This Row],[GD]]=0,TRUE,FALSE),IF(GroupD[[#This Row],[Pts]]=0,TRUE,FALSE)),99,RANK(GroupD[[#This Row],[Tie Breaker]],GroupD[Tie Breaker]))</f>
        <v>99</v>
      </c>
      <c r="D27" s="27" t="s">
        <v>7</v>
      </c>
      <c r="E27" s="18">
        <f>COUNTIF(GroupStages[Winner],GroupD[[#This Row],[Country]])</f>
        <v>0</v>
      </c>
      <c r="F27" s="18">
        <f>COUNTIF(GroupStages[Draw1],GroupD[[#This Row],[Country]])+COUNTIF(GroupStages[Draw2],GroupD[[#This Row],[Country]])</f>
        <v>0</v>
      </c>
      <c r="G27" s="18">
        <f>COUNTIF(GroupStages[Loser],GroupD[[#This Row],[Country]])</f>
        <v>0</v>
      </c>
      <c r="H27" s="18">
        <f>SUMIF(GroupStages[TeamA],GroupD[[#This Row],[Country]],GroupStages[ScoreA])+SUMIF(GroupStages[TeamB],GroupD[[#This Row],[Country]],GroupStages[ScoreB])</f>
        <v>0</v>
      </c>
      <c r="I27" s="18">
        <f>SUMIF(GroupStages[TeamA],GroupD[[#This Row],[Country]],GroupStages[ScoreB])+SUMIF(GroupStages[TeamB],GroupD[[#This Row],[Country]],GroupStages[ScoreA])</f>
        <v>0</v>
      </c>
      <c r="J27" s="19">
        <f>GroupD[[#This Row],[GF]]-GroupD[[#This Row],[GA]]</f>
        <v>0</v>
      </c>
      <c r="K27" s="18">
        <f>(GroupD[[#This Row],[W]]*3)+GroupD[[#This Row],[D]]</f>
        <v>0</v>
      </c>
      <c r="L27" s="5">
        <f>GroupD[[#This Row],[Pts]]+(GroupD[[#This Row],[GD]]/100)</f>
        <v>0</v>
      </c>
    </row>
    <row r="28" spans="1:12" x14ac:dyDescent="0.25">
      <c r="A28" s="1"/>
      <c r="B28" s="70"/>
      <c r="C28" s="72">
        <f>IF(AND(IF(GroupD[[#This Row],[GD]]=0,TRUE,FALSE),IF(GroupD[[#This Row],[Pts]]=0,TRUE,FALSE)),99,RANK(GroupD[[#This Row],[Tie Breaker]],GroupD[Tie Breaker]))</f>
        <v>99</v>
      </c>
      <c r="D28" s="28" t="s">
        <v>30</v>
      </c>
      <c r="E28" s="9">
        <f>COUNTIF(GroupStages[Winner],GroupD[[#This Row],[Country]])</f>
        <v>0</v>
      </c>
      <c r="F28" s="9">
        <f>COUNTIF(GroupStages[Draw1],GroupD[[#This Row],[Country]])+COUNTIF(GroupStages[Draw2],GroupD[[#This Row],[Country]])</f>
        <v>0</v>
      </c>
      <c r="G28" s="9">
        <f>COUNTIF(GroupStages[Loser],GroupD[[#This Row],[Country]])</f>
        <v>0</v>
      </c>
      <c r="H28" s="9">
        <f>SUMIF(GroupStages[TeamA],GroupD[[#This Row],[Country]],GroupStages[ScoreA])+SUMIF(GroupStages[TeamB],GroupD[[#This Row],[Country]],GroupStages[ScoreB])</f>
        <v>0</v>
      </c>
      <c r="I28" s="9">
        <f>SUMIF(GroupStages[TeamA],GroupD[[#This Row],[Country]],GroupStages[ScoreB])+SUMIF(GroupStages[TeamB],GroupD[[#This Row],[Country]],GroupStages[ScoreA])</f>
        <v>0</v>
      </c>
      <c r="J28" s="20">
        <f>GroupD[[#This Row],[GF]]-GroupD[[#This Row],[GA]]</f>
        <v>0</v>
      </c>
      <c r="K28" s="9">
        <f>(GroupD[[#This Row],[W]]*3)+GroupD[[#This Row],[D]]</f>
        <v>0</v>
      </c>
      <c r="L28" s="5">
        <f>GroupD[[#This Row],[Pts]]+(GroupD[[#This Row],[GD]]/100)</f>
        <v>0</v>
      </c>
    </row>
    <row r="29" spans="1:12" x14ac:dyDescent="0.25">
      <c r="A29" s="1"/>
      <c r="B29" s="70"/>
      <c r="C29" s="72">
        <f>IF(AND(IF(GroupD[[#This Row],[GD]]=0,TRUE,FALSE),IF(GroupD[[#This Row],[Pts]]=0,TRUE,FALSE)),99,RANK(GroupD[[#This Row],[Tie Breaker]],GroupD[Tie Breaker]))</f>
        <v>99</v>
      </c>
      <c r="D29" s="28" t="s">
        <v>14</v>
      </c>
      <c r="E29" s="9">
        <f>COUNTIF(GroupStages[Winner],GroupD[[#This Row],[Country]])</f>
        <v>0</v>
      </c>
      <c r="F29" s="9">
        <f>COUNTIF(GroupStages[Draw1],GroupD[[#This Row],[Country]])+COUNTIF(GroupStages[Draw2],GroupD[[#This Row],[Country]])</f>
        <v>0</v>
      </c>
      <c r="G29" s="9">
        <f>COUNTIF(GroupStages[Loser],GroupD[[#This Row],[Country]])</f>
        <v>0</v>
      </c>
      <c r="H29" s="9">
        <f>SUMIF(GroupStages[TeamA],GroupD[[#This Row],[Country]],GroupStages[ScoreA])+SUMIF(GroupStages[TeamB],GroupD[[#This Row],[Country]],GroupStages[ScoreB])</f>
        <v>0</v>
      </c>
      <c r="I29" s="9">
        <f>SUMIF(GroupStages[TeamA],GroupD[[#This Row],[Country]],GroupStages[ScoreB])+SUMIF(GroupStages[TeamB],GroupD[[#This Row],[Country]],GroupStages[ScoreA])</f>
        <v>0</v>
      </c>
      <c r="J29" s="20">
        <f>GroupD[[#This Row],[GF]]-GroupD[[#This Row],[GA]]</f>
        <v>0</v>
      </c>
      <c r="K29" s="9">
        <f>(GroupD[[#This Row],[W]]*3)+GroupD[[#This Row],[D]]</f>
        <v>0</v>
      </c>
      <c r="L29" s="5">
        <f>GroupD[[#This Row],[Pts]]+(GroupD[[#This Row],[GD]]/100)</f>
        <v>0</v>
      </c>
    </row>
    <row r="30" spans="1:12" ht="15.75" thickBot="1" x14ac:dyDescent="0.3">
      <c r="A30" s="1"/>
      <c r="B30" s="70"/>
      <c r="C30" s="72">
        <f>IF(AND(IF(GroupD[[#This Row],[GD]]=0,TRUE,FALSE),IF(GroupD[[#This Row],[Pts]]=0,TRUE,FALSE)),99,RANK(GroupD[[#This Row],[Tie Breaker]],GroupD[Tie Breaker]))</f>
        <v>99</v>
      </c>
      <c r="D30" s="29" t="s">
        <v>28</v>
      </c>
      <c r="E30" s="21">
        <f>COUNTIF(GroupStages[Winner],GroupD[[#This Row],[Country]])</f>
        <v>0</v>
      </c>
      <c r="F30" s="21">
        <f>COUNTIF(GroupStages[Draw1],GroupD[[#This Row],[Country]])+COUNTIF(GroupStages[Draw2],GroupD[[#This Row],[Country]])</f>
        <v>0</v>
      </c>
      <c r="G30" s="21">
        <f>COUNTIF(GroupStages[Loser],GroupD[[#This Row],[Country]])</f>
        <v>0</v>
      </c>
      <c r="H30" s="21">
        <f>SUMIF(GroupStages[TeamA],GroupD[[#This Row],[Country]],GroupStages[ScoreA])+SUMIF(GroupStages[TeamB],GroupD[[#This Row],[Country]],GroupStages[ScoreB])</f>
        <v>0</v>
      </c>
      <c r="I30" s="21">
        <f>SUMIF(GroupStages[TeamA],GroupD[[#This Row],[Country]],GroupStages[ScoreB])+SUMIF(GroupStages[TeamB],GroupD[[#This Row],[Country]],GroupStages[ScoreA])</f>
        <v>0</v>
      </c>
      <c r="J30" s="22">
        <f>GroupD[[#This Row],[GF]]-GroupD[[#This Row],[GA]]</f>
        <v>0</v>
      </c>
      <c r="K30" s="21">
        <f>(GroupD[[#This Row],[W]]*3)+GroupD[[#This Row],[D]]</f>
        <v>0</v>
      </c>
      <c r="L30" s="5">
        <f>GroupD[[#This Row],[Pts]]+(GroupD[[#This Row],[GD]]/100)</f>
        <v>0</v>
      </c>
    </row>
    <row r="31" spans="1:12" x14ac:dyDescent="0.25">
      <c r="D31" s="3"/>
      <c r="E31" s="3"/>
      <c r="F31" s="3"/>
      <c r="G31" s="3"/>
      <c r="H31" s="3"/>
      <c r="I31" s="3"/>
      <c r="J31" s="3"/>
    </row>
    <row r="32" spans="1:12" ht="21" x14ac:dyDescent="0.35">
      <c r="B32" s="13" t="s">
        <v>57</v>
      </c>
      <c r="C32" s="1"/>
      <c r="D32" s="3"/>
      <c r="E32" s="3"/>
      <c r="F32" s="3"/>
      <c r="G32" s="3"/>
      <c r="H32" s="3"/>
      <c r="I32" s="3"/>
      <c r="J32" s="3"/>
    </row>
    <row r="33" spans="1:17" ht="15.75" thickBot="1" x14ac:dyDescent="0.3">
      <c r="A33" s="1"/>
      <c r="C33" s="14" t="s">
        <v>37</v>
      </c>
      <c r="D33" s="14" t="s">
        <v>36</v>
      </c>
      <c r="E33" s="23" t="s">
        <v>0</v>
      </c>
      <c r="F33" s="23" t="s">
        <v>1</v>
      </c>
      <c r="G33" s="23" t="s">
        <v>2</v>
      </c>
      <c r="H33" s="23" t="s">
        <v>3</v>
      </c>
      <c r="I33" s="23" t="s">
        <v>4</v>
      </c>
      <c r="J33" s="23" t="s">
        <v>94</v>
      </c>
      <c r="K33" s="23" t="s">
        <v>5</v>
      </c>
      <c r="L33" s="5" t="s">
        <v>117</v>
      </c>
    </row>
    <row r="34" spans="1:17" x14ac:dyDescent="0.25">
      <c r="A34" s="1"/>
      <c r="B34" s="70"/>
      <c r="C34" s="72">
        <f>IF(AND(IF(GroupE[[#This Row],[GD]]=0,TRUE,FALSE),IF(GroupE[[#This Row],[Pts]]=0,TRUE,FALSE)),99,RANK(GroupE[[#This Row],[Tie Breaker]],GroupE[Tie Breaker]))</f>
        <v>99</v>
      </c>
      <c r="D34" s="27" t="s">
        <v>13</v>
      </c>
      <c r="E34" s="18">
        <f>COUNTIF(GroupStages[Winner],GroupE[[#This Row],[Country]])</f>
        <v>0</v>
      </c>
      <c r="F34" s="18">
        <f>COUNTIF(GroupStages[Draw1],GroupE[[#This Row],[Country]])+COUNTIF(GroupStages[Draw2],GroupE[[#This Row],[Country]])</f>
        <v>0</v>
      </c>
      <c r="G34" s="18">
        <f>COUNTIF(GroupStages[Loser],GroupE[[#This Row],[Country]])</f>
        <v>0</v>
      </c>
      <c r="H34" s="18">
        <f>SUMIF(GroupStages[TeamA],GroupE[[#This Row],[Country]],GroupStages[ScoreA])+SUMIF(GroupStages[TeamB],GroupE[[#This Row],[Country]],GroupStages[ScoreB])</f>
        <v>0</v>
      </c>
      <c r="I34" s="18">
        <f>SUMIF(GroupStages[TeamA],GroupE[[#This Row],[Country]],GroupStages[ScoreB])+SUMIF(GroupStages[TeamB],GroupE[[#This Row],[Country]],GroupStages[ScoreA])</f>
        <v>0</v>
      </c>
      <c r="J34" s="19">
        <f>GroupE[[#This Row],[GF]]-GroupE[[#This Row],[GA]]</f>
        <v>0</v>
      </c>
      <c r="K34" s="18">
        <f>(GroupE[[#This Row],[W]]*3)+GroupE[[#This Row],[D]]</f>
        <v>0</v>
      </c>
      <c r="L34" s="5">
        <f>GroupE[[#This Row],[Pts]]+(GroupE[[#This Row],[GD]]/100)</f>
        <v>0</v>
      </c>
    </row>
    <row r="35" spans="1:17" x14ac:dyDescent="0.25">
      <c r="A35" s="1"/>
      <c r="B35" s="70"/>
      <c r="C35" s="72">
        <f>IF(AND(IF(GroupE[[#This Row],[GD]]=0,TRUE,FALSE),IF(GroupE[[#This Row],[Pts]]=0,TRUE,FALSE)),99,RANK(GroupE[[#This Row],[Tie Breaker]],GroupE[Tie Breaker]))</f>
        <v>99</v>
      </c>
      <c r="D35" s="28" t="s">
        <v>22</v>
      </c>
      <c r="E35" s="9">
        <f>COUNTIF(GroupStages[Winner],GroupE[[#This Row],[Country]])</f>
        <v>0</v>
      </c>
      <c r="F35" s="9">
        <f>COUNTIF(GroupStages[Draw1],GroupE[[#This Row],[Country]])+COUNTIF(GroupStages[Draw2],GroupE[[#This Row],[Country]])</f>
        <v>0</v>
      </c>
      <c r="G35" s="9">
        <f>COUNTIF(GroupStages[Loser],GroupE[[#This Row],[Country]])</f>
        <v>0</v>
      </c>
      <c r="H35" s="9">
        <f>SUMIF(GroupStages[TeamA],GroupE[[#This Row],[Country]],GroupStages[ScoreA])+SUMIF(GroupStages[TeamB],GroupE[[#This Row],[Country]],GroupStages[ScoreB])</f>
        <v>0</v>
      </c>
      <c r="I35" s="9">
        <f>SUMIF(GroupStages[TeamA],GroupE[[#This Row],[Country]],GroupStages[ScoreB])+SUMIF(GroupStages[TeamB],GroupE[[#This Row],[Country]],GroupStages[ScoreA])</f>
        <v>0</v>
      </c>
      <c r="J35" s="20">
        <f>GroupE[[#This Row],[GF]]-GroupE[[#This Row],[GA]]</f>
        <v>0</v>
      </c>
      <c r="K35" s="9">
        <f>(GroupE[[#This Row],[W]]*3)+GroupE[[#This Row],[D]]</f>
        <v>0</v>
      </c>
      <c r="L35" s="5">
        <f>GroupE[[#This Row],[Pts]]+(GroupE[[#This Row],[GD]]/100)</f>
        <v>0</v>
      </c>
    </row>
    <row r="36" spans="1:17" x14ac:dyDescent="0.25">
      <c r="A36" s="1"/>
      <c r="B36" s="70"/>
      <c r="C36" s="72">
        <f>IF(AND(IF(GroupE[[#This Row],[GD]]=0,TRUE,FALSE),IF(GroupE[[#This Row],[Pts]]=0,TRUE,FALSE)),99,RANK(GroupE[[#This Row],[Tie Breaker]],GroupE[Tie Breaker]))</f>
        <v>99</v>
      </c>
      <c r="D36" s="28" t="s">
        <v>26</v>
      </c>
      <c r="E36" s="9">
        <f>COUNTIF(GroupStages[Winner],GroupE[[#This Row],[Country]])</f>
        <v>0</v>
      </c>
      <c r="F36" s="9">
        <f>COUNTIF(GroupStages[Draw1],GroupE[[#This Row],[Country]])+COUNTIF(GroupStages[Draw2],GroupE[[#This Row],[Country]])</f>
        <v>0</v>
      </c>
      <c r="G36" s="9">
        <f>COUNTIF(GroupStages[Loser],GroupE[[#This Row],[Country]])</f>
        <v>0</v>
      </c>
      <c r="H36" s="9">
        <f>SUMIF(GroupStages[TeamA],GroupE[[#This Row],[Country]],GroupStages[ScoreA])+SUMIF(GroupStages[TeamB],GroupE[[#This Row],[Country]],GroupStages[ScoreB])</f>
        <v>0</v>
      </c>
      <c r="I36" s="9">
        <f>SUMIF(GroupStages[TeamA],GroupE[[#This Row],[Country]],GroupStages[ScoreB])+SUMIF(GroupStages[TeamB],GroupE[[#This Row],[Country]],GroupStages[ScoreA])</f>
        <v>0</v>
      </c>
      <c r="J36" s="20">
        <f>GroupE[[#This Row],[GF]]-GroupE[[#This Row],[GA]]</f>
        <v>0</v>
      </c>
      <c r="K36" s="9">
        <f>(GroupE[[#This Row],[W]]*3)+GroupE[[#This Row],[D]]</f>
        <v>0</v>
      </c>
      <c r="L36" s="5">
        <f>GroupE[[#This Row],[Pts]]+(GroupE[[#This Row],[GD]]/100)</f>
        <v>0</v>
      </c>
    </row>
    <row r="37" spans="1:17" ht="15.75" thickBot="1" x14ac:dyDescent="0.3">
      <c r="A37" s="1"/>
      <c r="B37" s="70"/>
      <c r="C37" s="72">
        <f>IF(AND(IF(GroupE[[#This Row],[GD]]=0,TRUE,FALSE),IF(GroupE[[#This Row],[Pts]]=0,TRUE,FALSE)),99,RANK(GroupE[[#This Row],[Tie Breaker]],GroupE[Tie Breaker]))</f>
        <v>99</v>
      </c>
      <c r="D37" s="29" t="s">
        <v>38</v>
      </c>
      <c r="E37" s="21">
        <f>COUNTIF(GroupStages[Winner],GroupE[[#This Row],[Country]])</f>
        <v>0</v>
      </c>
      <c r="F37" s="21">
        <f>COUNTIF(GroupStages[Draw1],GroupE[[#This Row],[Country]])+COUNTIF(GroupStages[Draw2],GroupE[[#This Row],[Country]])</f>
        <v>0</v>
      </c>
      <c r="G37" s="21">
        <f>COUNTIF(GroupStages[Loser],GroupE[[#This Row],[Country]])</f>
        <v>0</v>
      </c>
      <c r="H37" s="21">
        <f>SUMIF(GroupStages[TeamA],GroupE[[#This Row],[Country]],GroupStages[ScoreA])+SUMIF(GroupStages[TeamB],GroupE[[#This Row],[Country]],GroupStages[ScoreB])</f>
        <v>0</v>
      </c>
      <c r="I37" s="21">
        <f>SUMIF(GroupStages[TeamA],GroupE[[#This Row],[Country]],GroupStages[ScoreB])+SUMIF(GroupStages[TeamB],GroupE[[#This Row],[Country]],GroupStages[ScoreA])</f>
        <v>0</v>
      </c>
      <c r="J37" s="22">
        <f>GroupE[[#This Row],[GF]]-GroupE[[#This Row],[GA]]</f>
        <v>0</v>
      </c>
      <c r="K37" s="21">
        <f>(GroupE[[#This Row],[W]]*3)+GroupE[[#This Row],[D]]</f>
        <v>0</v>
      </c>
      <c r="L37" s="5">
        <f>GroupE[[#This Row],[Pts]]+(GroupE[[#This Row],[GD]]/100)</f>
        <v>0</v>
      </c>
    </row>
    <row r="38" spans="1:17" x14ac:dyDescent="0.25">
      <c r="D38" s="3"/>
      <c r="E38" s="3"/>
      <c r="F38" s="3"/>
      <c r="G38" s="3"/>
      <c r="H38" s="3"/>
      <c r="I38" s="3"/>
      <c r="J38" s="3"/>
    </row>
    <row r="39" spans="1:17" ht="21" x14ac:dyDescent="0.35">
      <c r="B39" s="13" t="s">
        <v>58</v>
      </c>
      <c r="C39" s="1"/>
      <c r="D39" s="3"/>
      <c r="E39" s="3"/>
      <c r="F39" s="3"/>
      <c r="G39" s="3"/>
      <c r="H39" s="3"/>
      <c r="I39" s="3"/>
      <c r="J39" s="3"/>
    </row>
    <row r="40" spans="1:17" ht="15.75" thickBot="1" x14ac:dyDescent="0.3">
      <c r="A40" s="1"/>
      <c r="C40" s="14" t="s">
        <v>37</v>
      </c>
      <c r="D40" s="14" t="s">
        <v>36</v>
      </c>
      <c r="E40" s="23" t="s">
        <v>0</v>
      </c>
      <c r="F40" s="23" t="s">
        <v>1</v>
      </c>
      <c r="G40" s="23" t="s">
        <v>2</v>
      </c>
      <c r="H40" s="23" t="s">
        <v>3</v>
      </c>
      <c r="I40" s="23" t="s">
        <v>4</v>
      </c>
      <c r="J40" s="23" t="s">
        <v>94</v>
      </c>
      <c r="K40" s="23" t="s">
        <v>5</v>
      </c>
      <c r="L40" s="5" t="s">
        <v>117</v>
      </c>
    </row>
    <row r="41" spans="1:17" x14ac:dyDescent="0.25">
      <c r="A41" s="1"/>
      <c r="B41" s="70"/>
      <c r="C41" s="72">
        <f>IF(AND(IF(GroupF[[#This Row],[GD]]=0,TRUE,FALSE),IF(GroupF[[#This Row],[Pts]]=0,TRUE,FALSE)),99,RANK(GroupF[[#This Row],[Tie Breaker]],GroupF[Tie Breaker]))</f>
        <v>99</v>
      </c>
      <c r="D41" s="27" t="s">
        <v>8</v>
      </c>
      <c r="E41" s="18">
        <f>COUNTIF(GroupStages[Winner],GroupF[[#This Row],[Country]])</f>
        <v>0</v>
      </c>
      <c r="F41" s="18">
        <f>COUNTIF(GroupStages[Draw1],GroupF[[#This Row],[Country]])+COUNTIF(GroupStages[Draw2],GroupF[[#This Row],[Country]])</f>
        <v>0</v>
      </c>
      <c r="G41" s="18">
        <f>COUNTIF(GroupStages[Loser],GroupF[[#This Row],[Country]])</f>
        <v>0</v>
      </c>
      <c r="H41" s="18">
        <f>SUMIF(GroupStages[TeamA],GroupF[[#This Row],[Country]],GroupStages[ScoreA])+SUMIF(GroupStages[TeamB],GroupF[[#This Row],[Country]],GroupStages[ScoreB])</f>
        <v>0</v>
      </c>
      <c r="I41" s="18">
        <f>SUMIF(GroupStages[TeamA],GroupF[[#This Row],[Country]],GroupStages[ScoreB])+SUMIF(GroupStages[TeamB],GroupF[[#This Row],[Country]],GroupStages[ScoreA])</f>
        <v>0</v>
      </c>
      <c r="J41" s="19">
        <f>GroupF[[#This Row],[GF]]-GroupF[[#This Row],[GA]]</f>
        <v>0</v>
      </c>
      <c r="K41" s="18">
        <f>(GroupF[[#This Row],[W]]*3)+GroupF[[#This Row],[D]]</f>
        <v>0</v>
      </c>
      <c r="L41" s="5">
        <f>GroupF[[#This Row],[Pts]]+(GroupF[[#This Row],[GD]]/100)</f>
        <v>0</v>
      </c>
    </row>
    <row r="42" spans="1:17" x14ac:dyDescent="0.25">
      <c r="A42" s="1"/>
      <c r="B42" s="70"/>
      <c r="C42" s="72">
        <f>IF(AND(IF(GroupF[[#This Row],[GD]]=0,TRUE,FALSE),IF(GroupF[[#This Row],[Pts]]=0,TRUE,FALSE)),99,RANK(GroupF[[#This Row],[Tie Breaker]],GroupF[Tie Breaker]))</f>
        <v>99</v>
      </c>
      <c r="D42" s="28" t="s">
        <v>21</v>
      </c>
      <c r="E42" s="9">
        <f>COUNTIF(GroupStages[Winner],GroupF[[#This Row],[Country]])</f>
        <v>0</v>
      </c>
      <c r="F42" s="9">
        <f>COUNTIF(GroupStages[Draw1],GroupF[[#This Row],[Country]])+COUNTIF(GroupStages[Draw2],GroupF[[#This Row],[Country]])</f>
        <v>0</v>
      </c>
      <c r="G42" s="9">
        <f>COUNTIF(GroupStages[Loser],GroupF[[#This Row],[Country]])</f>
        <v>0</v>
      </c>
      <c r="H42" s="9">
        <f>SUMIF(GroupStages[TeamA],GroupF[[#This Row],[Country]],GroupStages[ScoreA])+SUMIF(GroupStages[TeamB],GroupF[[#This Row],[Country]],GroupStages[ScoreB])</f>
        <v>0</v>
      </c>
      <c r="I42" s="9">
        <f>SUMIF(GroupStages[TeamA],GroupF[[#This Row],[Country]],GroupStages[ScoreB])+SUMIF(GroupStages[TeamB],GroupF[[#This Row],[Country]],GroupStages[ScoreA])</f>
        <v>0</v>
      </c>
      <c r="J42" s="20">
        <f>GroupF[[#This Row],[GF]]-GroupF[[#This Row],[GA]]</f>
        <v>0</v>
      </c>
      <c r="K42" s="9">
        <f>(GroupF[[#This Row],[W]]*3)+GroupF[[#This Row],[D]]</f>
        <v>0</v>
      </c>
      <c r="L42" s="5">
        <f>GroupF[[#This Row],[Pts]]+(GroupF[[#This Row],[GD]]/100)</f>
        <v>0</v>
      </c>
    </row>
    <row r="43" spans="1:17" ht="21" x14ac:dyDescent="0.35">
      <c r="A43" s="1"/>
      <c r="B43" s="70"/>
      <c r="C43" s="72">
        <f>IF(AND(IF(GroupF[[#This Row],[GD]]=0,TRUE,FALSE),IF(GroupF[[#This Row],[Pts]]=0,TRUE,FALSE)),99,RANK(GroupF[[#This Row],[Tie Breaker]],GroupF[Tie Breaker]))</f>
        <v>99</v>
      </c>
      <c r="D43" s="28" t="s">
        <v>34</v>
      </c>
      <c r="E43" s="9">
        <f>COUNTIF(GroupStages[Winner],GroupF[[#This Row],[Country]])</f>
        <v>0</v>
      </c>
      <c r="F43" s="9">
        <f>COUNTIF(GroupStages[Draw1],GroupF[[#This Row],[Country]])+COUNTIF(GroupStages[Draw2],GroupF[[#This Row],[Country]])</f>
        <v>0</v>
      </c>
      <c r="G43" s="9">
        <f>COUNTIF(GroupStages[Loser],GroupF[[#This Row],[Country]])</f>
        <v>0</v>
      </c>
      <c r="H43" s="9">
        <f>SUMIF(GroupStages[TeamA],GroupF[[#This Row],[Country]],GroupStages[ScoreA])+SUMIF(GroupStages[TeamB],GroupF[[#This Row],[Country]],GroupStages[ScoreB])</f>
        <v>0</v>
      </c>
      <c r="I43" s="9">
        <f>SUMIF(GroupStages[TeamA],GroupF[[#This Row],[Country]],GroupStages[ScoreB])+SUMIF(GroupStages[TeamB],GroupF[[#This Row],[Country]],GroupStages[ScoreA])</f>
        <v>0</v>
      </c>
      <c r="J43" s="20">
        <f>GroupF[[#This Row],[GF]]-GroupF[[#This Row],[GA]]</f>
        <v>0</v>
      </c>
      <c r="K43" s="9">
        <f>(GroupF[[#This Row],[W]]*3)+GroupF[[#This Row],[D]]</f>
        <v>0</v>
      </c>
      <c r="L43" s="5">
        <f>GroupF[[#This Row],[Pts]]+(GroupF[[#This Row],[GD]]/100)</f>
        <v>0</v>
      </c>
      <c r="Q43" s="13"/>
    </row>
    <row r="44" spans="1:17" ht="15.75" thickBot="1" x14ac:dyDescent="0.3">
      <c r="A44" s="1"/>
      <c r="B44" s="70"/>
      <c r="C44" s="72">
        <f>IF(AND(IF(GroupF[[#This Row],[GD]]=0,TRUE,FALSE),IF(GroupF[[#This Row],[Pts]]=0,TRUE,FALSE)),99,RANK(GroupF[[#This Row],[Tie Breaker]],GroupF[Tie Breaker]))</f>
        <v>99</v>
      </c>
      <c r="D44" s="29" t="s">
        <v>17</v>
      </c>
      <c r="E44" s="21">
        <f>COUNTIF(GroupStages[Winner],GroupF[[#This Row],[Country]])</f>
        <v>0</v>
      </c>
      <c r="F44" s="21">
        <f>COUNTIF(GroupStages[Draw1],GroupF[[#This Row],[Country]])+COUNTIF(GroupStages[Draw2],GroupF[[#This Row],[Country]])</f>
        <v>0</v>
      </c>
      <c r="G44" s="21">
        <f>COUNTIF(GroupStages[Loser],GroupF[[#This Row],[Country]])</f>
        <v>0</v>
      </c>
      <c r="H44" s="21">
        <f>SUMIF(GroupStages[TeamA],GroupF[[#This Row],[Country]],GroupStages[ScoreA])+SUMIF(GroupStages[TeamB],GroupF[[#This Row],[Country]],GroupStages[ScoreB])</f>
        <v>0</v>
      </c>
      <c r="I44" s="21">
        <f>SUMIF(GroupStages[TeamA],GroupF[[#This Row],[Country]],GroupStages[ScoreB])+SUMIF(GroupStages[TeamB],GroupF[[#This Row],[Country]],GroupStages[ScoreA])</f>
        <v>0</v>
      </c>
      <c r="J44" s="22">
        <f>GroupF[[#This Row],[GF]]-GroupF[[#This Row],[GA]]</f>
        <v>0</v>
      </c>
      <c r="K44" s="21">
        <f>(GroupF[[#This Row],[W]]*3)+GroupF[[#This Row],[D]]</f>
        <v>0</v>
      </c>
      <c r="L44" s="5">
        <f>GroupF[[#This Row],[Pts]]+(GroupF[[#This Row],[GD]]/100)</f>
        <v>0</v>
      </c>
    </row>
    <row r="45" spans="1:17" x14ac:dyDescent="0.25">
      <c r="D45" s="3"/>
      <c r="E45" s="3"/>
      <c r="F45" s="3"/>
      <c r="G45" s="3"/>
      <c r="H45" s="3"/>
      <c r="I45" s="3"/>
      <c r="J45" s="3"/>
    </row>
    <row r="46" spans="1:17" ht="21" x14ac:dyDescent="0.35">
      <c r="B46" s="13" t="s">
        <v>92</v>
      </c>
      <c r="C46" s="2"/>
      <c r="D46" s="3"/>
      <c r="E46" s="3"/>
      <c r="F46" s="3"/>
      <c r="G46" s="3"/>
      <c r="H46" s="3"/>
      <c r="I46" s="3"/>
      <c r="J46" s="3"/>
    </row>
    <row r="47" spans="1:17" ht="15.75" thickBot="1" x14ac:dyDescent="0.3">
      <c r="A47" s="2"/>
      <c r="B47" s="71"/>
      <c r="C47" s="14" t="s">
        <v>37</v>
      </c>
      <c r="D47" s="14" t="s">
        <v>36</v>
      </c>
      <c r="E47" s="23" t="s">
        <v>0</v>
      </c>
      <c r="F47" s="23" t="s">
        <v>1</v>
      </c>
      <c r="G47" s="23" t="s">
        <v>2</v>
      </c>
      <c r="H47" s="23" t="s">
        <v>3</v>
      </c>
      <c r="I47" s="23" t="s">
        <v>4</v>
      </c>
      <c r="J47" s="23" t="s">
        <v>94</v>
      </c>
      <c r="K47" s="23" t="s">
        <v>5</v>
      </c>
      <c r="L47" s="5" t="s">
        <v>117</v>
      </c>
    </row>
    <row r="48" spans="1:17" x14ac:dyDescent="0.25">
      <c r="A48" s="2"/>
      <c r="B48" s="70"/>
      <c r="C48" s="72">
        <f>IF(AND(IF(GroupG[[#This Row],[GD]]=0,TRUE,FALSE),IF(GroupG[[#This Row],[Pts]]=0,TRUE,FALSE)),99,RANK(GroupG[[#This Row],[Tie Breaker]],GroupG[Tie Breaker]))</f>
        <v>99</v>
      </c>
      <c r="D48" s="27" t="s">
        <v>6</v>
      </c>
      <c r="E48" s="18">
        <f>COUNTIF(GroupStages[Winner],GroupG[[#This Row],[Country]])</f>
        <v>0</v>
      </c>
      <c r="F48" s="18">
        <f>COUNTIF(GroupStages[Draw1],GroupG[[#This Row],[Country]])+COUNTIF(GroupStages[Draw2],GroupG[[#This Row],[Country]])</f>
        <v>0</v>
      </c>
      <c r="G48" s="18">
        <f>COUNTIF(GroupStages[Loser],GroupG[[#This Row],[Country]])</f>
        <v>0</v>
      </c>
      <c r="H48" s="18">
        <f>SUMIF(GroupStages[TeamA],GroupG[[#This Row],[Country]],GroupStages[ScoreA])+SUMIF(GroupStages[TeamB],GroupG[[#This Row],[Country]],GroupStages[ScoreB])</f>
        <v>0</v>
      </c>
      <c r="I48" s="18">
        <f>SUMIF(GroupStages[TeamA],GroupG[[#This Row],[Country]],GroupStages[ScoreB])+SUMIF(GroupStages[TeamB],GroupG[[#This Row],[Country]],GroupStages[ScoreA])</f>
        <v>0</v>
      </c>
      <c r="J48" s="19">
        <f>GroupG[[#This Row],[GF]]-GroupG[[#This Row],[GA]]</f>
        <v>0</v>
      </c>
      <c r="K48" s="18">
        <f>(GroupG[[#This Row],[W]]*3)+GroupG[[#This Row],[D]]</f>
        <v>0</v>
      </c>
      <c r="L48" s="5">
        <f>GroupG[[#This Row],[Pts]]+(GroupG[[#This Row],[GD]]/100)</f>
        <v>0</v>
      </c>
    </row>
    <row r="49" spans="1:12" x14ac:dyDescent="0.25">
      <c r="A49" s="2"/>
      <c r="B49" s="70"/>
      <c r="C49" s="72">
        <f>IF(AND(IF(GroupG[[#This Row],[GD]]=0,TRUE,FALSE),IF(GroupG[[#This Row],[Pts]]=0,TRUE,FALSE)),99,RANK(GroupG[[#This Row],[Tie Breaker]],GroupG[Tie Breaker]))</f>
        <v>99</v>
      </c>
      <c r="D49" s="28" t="s">
        <v>31</v>
      </c>
      <c r="E49" s="9">
        <f>COUNTIF(GroupStages[Winner],GroupG[[#This Row],[Country]])</f>
        <v>0</v>
      </c>
      <c r="F49" s="9">
        <f>COUNTIF(GroupStages[Draw1],GroupG[[#This Row],[Country]])+COUNTIF(GroupStages[Draw2],GroupG[[#This Row],[Country]])</f>
        <v>0</v>
      </c>
      <c r="G49" s="9">
        <f>COUNTIF(GroupStages[Loser],GroupG[[#This Row],[Country]])</f>
        <v>0</v>
      </c>
      <c r="H49" s="9">
        <f>SUMIF(GroupStages[TeamA],GroupG[[#This Row],[Country]],GroupStages[ScoreA])+SUMIF(GroupStages[TeamB],GroupG[[#This Row],[Country]],GroupStages[ScoreB])</f>
        <v>0</v>
      </c>
      <c r="I49" s="9">
        <f>SUMIF(GroupStages[TeamA],GroupG[[#This Row],[Country]],GroupStages[ScoreB])+SUMIF(GroupStages[TeamB],GroupG[[#This Row],[Country]],GroupStages[ScoreA])</f>
        <v>0</v>
      </c>
      <c r="J49" s="20">
        <f>GroupG[[#This Row],[GF]]-GroupG[[#This Row],[GA]]</f>
        <v>0</v>
      </c>
      <c r="K49" s="9">
        <f>(GroupG[[#This Row],[W]]*3)+GroupG[[#This Row],[D]]</f>
        <v>0</v>
      </c>
      <c r="L49" s="5">
        <f>GroupG[[#This Row],[Pts]]+(GroupG[[#This Row],[GD]]/100)</f>
        <v>0</v>
      </c>
    </row>
    <row r="50" spans="1:12" x14ac:dyDescent="0.25">
      <c r="A50" s="2"/>
      <c r="B50" s="70"/>
      <c r="C50" s="72">
        <f>IF(AND(IF(GroupG[[#This Row],[GD]]=0,TRUE,FALSE),IF(GroupG[[#This Row],[Pts]]=0,TRUE,FALSE)),99,RANK(GroupG[[#This Row],[Tie Breaker]],GroupG[Tie Breaker]))</f>
        <v>99</v>
      </c>
      <c r="D50" s="28" t="s">
        <v>59</v>
      </c>
      <c r="E50" s="9">
        <f>COUNTIF(GroupStages[Winner],GroupG[[#This Row],[Country]])</f>
        <v>0</v>
      </c>
      <c r="F50" s="9">
        <f>COUNTIF(GroupStages[Draw1],GroupG[[#This Row],[Country]])+COUNTIF(GroupStages[Draw2],GroupG[[#This Row],[Country]])</f>
        <v>0</v>
      </c>
      <c r="G50" s="9">
        <f>COUNTIF(GroupStages[Loser],GroupG[[#This Row],[Country]])</f>
        <v>0</v>
      </c>
      <c r="H50" s="9">
        <f>SUMIF(GroupStages[TeamA],GroupG[[#This Row],[Country]],GroupStages[ScoreA])+SUMIF(GroupStages[TeamB],GroupG[[#This Row],[Country]],GroupStages[ScoreB])</f>
        <v>0</v>
      </c>
      <c r="I50" s="9">
        <f>SUMIF(GroupStages[TeamA],GroupG[[#This Row],[Country]],GroupStages[ScoreB])+SUMIF(GroupStages[TeamB],GroupG[[#This Row],[Country]],GroupStages[ScoreA])</f>
        <v>0</v>
      </c>
      <c r="J50" s="20">
        <f>GroupG[[#This Row],[GF]]-GroupG[[#This Row],[GA]]</f>
        <v>0</v>
      </c>
      <c r="K50" s="9">
        <f>(GroupG[[#This Row],[W]]*3)+GroupG[[#This Row],[D]]</f>
        <v>0</v>
      </c>
      <c r="L50" s="5">
        <f>GroupG[[#This Row],[Pts]]+(GroupG[[#This Row],[GD]]/100)</f>
        <v>0</v>
      </c>
    </row>
    <row r="51" spans="1:12" ht="15.75" thickBot="1" x14ac:dyDescent="0.3">
      <c r="A51" s="2"/>
      <c r="B51" s="70"/>
      <c r="C51" s="72">
        <f>IF(AND(IF(GroupG[[#This Row],[GD]]=0,TRUE,FALSE),IF(GroupG[[#This Row],[Pts]]=0,TRUE,FALSE)),99,RANK(GroupG[[#This Row],[Tie Breaker]],GroupG[Tie Breaker]))</f>
        <v>99</v>
      </c>
      <c r="D51" s="29" t="s">
        <v>18</v>
      </c>
      <c r="E51" s="21">
        <f>COUNTIF(GroupStages[Winner],GroupG[[#This Row],[Country]])</f>
        <v>0</v>
      </c>
      <c r="F51" s="21">
        <f>COUNTIF(GroupStages[Draw1],GroupG[[#This Row],[Country]])+COUNTIF(GroupStages[Draw2],GroupG[[#This Row],[Country]])</f>
        <v>0</v>
      </c>
      <c r="G51" s="21">
        <f>COUNTIF(GroupStages[Loser],GroupG[[#This Row],[Country]])</f>
        <v>0</v>
      </c>
      <c r="H51" s="21">
        <f>SUMIF(GroupStages[TeamA],GroupG[[#This Row],[Country]],GroupStages[ScoreA])+SUMIF(GroupStages[TeamB],GroupG[[#This Row],[Country]],GroupStages[ScoreB])</f>
        <v>0</v>
      </c>
      <c r="I51" s="21">
        <f>SUMIF(GroupStages[TeamA],GroupG[[#This Row],[Country]],GroupStages[ScoreB])+SUMIF(GroupStages[TeamB],GroupG[[#This Row],[Country]],GroupStages[ScoreA])</f>
        <v>0</v>
      </c>
      <c r="J51" s="22">
        <f>GroupG[[#This Row],[GF]]-GroupG[[#This Row],[GA]]</f>
        <v>0</v>
      </c>
      <c r="K51" s="21">
        <f>(GroupG[[#This Row],[W]]*3)+GroupG[[#This Row],[D]]</f>
        <v>0</v>
      </c>
      <c r="L51" s="5">
        <f>GroupG[[#This Row],[Pts]]+(GroupG[[#This Row],[GD]]/100)</f>
        <v>0</v>
      </c>
    </row>
    <row r="52" spans="1:12" x14ac:dyDescent="0.25">
      <c r="B52" s="71"/>
      <c r="D52" s="3"/>
      <c r="E52" s="3"/>
      <c r="F52" s="3"/>
      <c r="G52" s="3"/>
      <c r="H52" s="3"/>
      <c r="I52" s="3"/>
      <c r="J52" s="3"/>
    </row>
    <row r="53" spans="1:12" ht="21" x14ac:dyDescent="0.35">
      <c r="B53" s="13" t="s">
        <v>93</v>
      </c>
      <c r="C53" s="2"/>
      <c r="D53" s="3"/>
      <c r="E53" s="3"/>
      <c r="F53" s="3"/>
      <c r="G53" s="3"/>
      <c r="H53" s="3"/>
      <c r="I53" s="3"/>
      <c r="J53" s="3"/>
    </row>
    <row r="54" spans="1:12" ht="15.75" thickBot="1" x14ac:dyDescent="0.3">
      <c r="A54" s="2"/>
      <c r="C54" s="14" t="s">
        <v>37</v>
      </c>
      <c r="D54" s="14" t="s">
        <v>36</v>
      </c>
      <c r="E54" s="23" t="s">
        <v>0</v>
      </c>
      <c r="F54" s="23" t="s">
        <v>1</v>
      </c>
      <c r="G54" s="23" t="s">
        <v>2</v>
      </c>
      <c r="H54" s="23" t="s">
        <v>3</v>
      </c>
      <c r="I54" s="23" t="s">
        <v>4</v>
      </c>
      <c r="J54" s="23" t="s">
        <v>94</v>
      </c>
      <c r="K54" s="23" t="s">
        <v>5</v>
      </c>
      <c r="L54" s="5" t="s">
        <v>117</v>
      </c>
    </row>
    <row r="55" spans="1:12" x14ac:dyDescent="0.25">
      <c r="A55" s="2"/>
      <c r="B55" s="70"/>
      <c r="C55" s="72">
        <f>IF(AND(IF(GroupH[[#This Row],[GD]]=0,TRUE,FALSE),IF(GroupH[[#This Row],[Pts]]=0,TRUE,FALSE)),99,RANK(GroupH[[#This Row],[Tie Breaker]],GroupH[Tie Breaker]))</f>
        <v>99</v>
      </c>
      <c r="D55" s="27" t="s">
        <v>12</v>
      </c>
      <c r="E55" s="18">
        <f>COUNTIF(GroupStages[Winner],GroupH[[#This Row],[Country]])</f>
        <v>0</v>
      </c>
      <c r="F55" s="18">
        <f>COUNTIF(GroupStages[Draw1],GroupH[[#This Row],[Country]])+COUNTIF(GroupStages[Draw2],GroupH[[#This Row],[Country]])</f>
        <v>0</v>
      </c>
      <c r="G55" s="18">
        <f>COUNTIF(GroupStages[Loser],GroupH[[#This Row],[Country]])</f>
        <v>0</v>
      </c>
      <c r="H55" s="18">
        <f>SUMIF(GroupStages[TeamA],GroupH[[#This Row],[Country]],GroupStages[ScoreA])+SUMIF(GroupStages[TeamB],GroupH[[#This Row],[Country]],GroupStages[ScoreB])</f>
        <v>0</v>
      </c>
      <c r="I55" s="18">
        <f>SUMIF(GroupStages[TeamA],GroupH[[#This Row],[Country]],GroupStages[ScoreB])+SUMIF(GroupStages[TeamB],GroupH[[#This Row],[Country]],GroupStages[ScoreA])</f>
        <v>0</v>
      </c>
      <c r="J55" s="24">
        <f>GroupH[[#This Row],[GF]]-GroupH[[#This Row],[GA]]</f>
        <v>0</v>
      </c>
      <c r="K55" s="18">
        <f>(GroupH[[#This Row],[W]]*3)+GroupH[[#This Row],[D]]</f>
        <v>0</v>
      </c>
      <c r="L55" s="5">
        <f>GroupH[[#This Row],[Pts]]+(GroupH[[#This Row],[GD]]/100)</f>
        <v>0</v>
      </c>
    </row>
    <row r="56" spans="1:12" x14ac:dyDescent="0.25">
      <c r="A56" s="2"/>
      <c r="B56" s="70"/>
      <c r="C56" s="72">
        <f>IF(AND(IF(GroupH[[#This Row],[GD]]=0,TRUE,FALSE),IF(GroupH[[#This Row],[Pts]]=0,TRUE,FALSE)),99,RANK(GroupH[[#This Row],[Tie Breaker]],GroupH[Tie Breaker]))</f>
        <v>99</v>
      </c>
      <c r="D56" s="28" t="s">
        <v>19</v>
      </c>
      <c r="E56" s="9">
        <f>COUNTIF(GroupStages[Winner],GroupH[[#This Row],[Country]])</f>
        <v>0</v>
      </c>
      <c r="F56" s="9">
        <f>COUNTIF(GroupStages[Draw1],GroupH[[#This Row],[Country]])+COUNTIF(GroupStages[Draw2],GroupH[[#This Row],[Country]])</f>
        <v>0</v>
      </c>
      <c r="G56" s="9">
        <f>COUNTIF(GroupStages[Loser],GroupH[[#This Row],[Country]])</f>
        <v>0</v>
      </c>
      <c r="H56" s="9">
        <f>SUMIF(GroupStages[TeamA],GroupH[[#This Row],[Country]],GroupStages[ScoreA])+SUMIF(GroupStages[TeamB],GroupH[[#This Row],[Country]],GroupStages[ScoreB])</f>
        <v>0</v>
      </c>
      <c r="I56" s="9">
        <f>SUMIF(GroupStages[TeamA],GroupH[[#This Row],[Country]],GroupStages[ScoreB])+SUMIF(GroupStages[TeamB],GroupH[[#This Row],[Country]],GroupStages[ScoreA])</f>
        <v>0</v>
      </c>
      <c r="J56" s="25">
        <f>GroupH[[#This Row],[GF]]-GroupH[[#This Row],[GA]]</f>
        <v>0</v>
      </c>
      <c r="K56" s="9">
        <f>(GroupH[[#This Row],[W]]*3)+GroupH[[#This Row],[D]]</f>
        <v>0</v>
      </c>
      <c r="L56" s="5">
        <f>GroupH[[#This Row],[Pts]]+(GroupH[[#This Row],[GD]]/100)</f>
        <v>0</v>
      </c>
    </row>
    <row r="57" spans="1:12" x14ac:dyDescent="0.25">
      <c r="A57" s="2"/>
      <c r="B57" s="70"/>
      <c r="C57" s="72">
        <f>IF(AND(IF(GroupH[[#This Row],[GD]]=0,TRUE,FALSE),IF(GroupH[[#This Row],[Pts]]=0,TRUE,FALSE)),99,RANK(GroupH[[#This Row],[Tie Breaker]],GroupH[Tie Breaker]))</f>
        <v>99</v>
      </c>
      <c r="D57" s="28" t="s">
        <v>32</v>
      </c>
      <c r="E57" s="9">
        <f>COUNTIF(GroupStages[Winner],GroupH[[#This Row],[Country]])</f>
        <v>0</v>
      </c>
      <c r="F57" s="9">
        <f>COUNTIF(GroupStages[Draw1],GroupH[[#This Row],[Country]])+COUNTIF(GroupStages[Draw2],GroupH[[#This Row],[Country]])</f>
        <v>0</v>
      </c>
      <c r="G57" s="9">
        <f>COUNTIF(GroupStages[Loser],GroupH[[#This Row],[Country]])</f>
        <v>0</v>
      </c>
      <c r="H57" s="9">
        <f>SUMIF(GroupStages[TeamA],GroupH[[#This Row],[Country]],GroupStages[ScoreA])+SUMIF(GroupStages[TeamB],GroupH[[#This Row],[Country]],GroupStages[ScoreB])</f>
        <v>0</v>
      </c>
      <c r="I57" s="9">
        <f>SUMIF(GroupStages[TeamA],GroupH[[#This Row],[Country]],GroupStages[ScoreB])+SUMIF(GroupStages[TeamB],GroupH[[#This Row],[Country]],GroupStages[ScoreA])</f>
        <v>0</v>
      </c>
      <c r="J57" s="25">
        <f>GroupH[[#This Row],[GF]]-GroupH[[#This Row],[GA]]</f>
        <v>0</v>
      </c>
      <c r="K57" s="9">
        <f>(GroupH[[#This Row],[W]]*3)+GroupH[[#This Row],[D]]</f>
        <v>0</v>
      </c>
      <c r="L57" s="5">
        <f>GroupH[[#This Row],[Pts]]+(GroupH[[#This Row],[GD]]/100)</f>
        <v>0</v>
      </c>
    </row>
    <row r="58" spans="1:12" ht="15.75" thickBot="1" x14ac:dyDescent="0.3">
      <c r="A58" s="2"/>
      <c r="B58" s="70"/>
      <c r="C58" s="72">
        <f>IF(AND(IF(GroupH[[#This Row],[GD]]=0,TRUE,FALSE),IF(GroupH[[#This Row],[Pts]]=0,TRUE,FALSE)),99,RANK(GroupH[[#This Row],[Tie Breaker]],GroupH[Tie Breaker]))</f>
        <v>99</v>
      </c>
      <c r="D58" s="29" t="s">
        <v>20</v>
      </c>
      <c r="E58" s="21">
        <f>COUNTIF(GroupStages[Winner],GroupH[[#This Row],[Country]])</f>
        <v>0</v>
      </c>
      <c r="F58" s="21">
        <f>COUNTIF(GroupStages[Draw1],GroupH[[#This Row],[Country]])+COUNTIF(GroupStages[Draw2],GroupH[[#This Row],[Country]])</f>
        <v>0</v>
      </c>
      <c r="G58" s="21">
        <f>COUNTIF(GroupStages[Loser],GroupH[[#This Row],[Country]])</f>
        <v>0</v>
      </c>
      <c r="H58" s="21">
        <f>SUMIF(GroupStages[TeamA],GroupH[[#This Row],[Country]],GroupStages[ScoreA])+SUMIF(GroupStages[TeamB],GroupH[[#This Row],[Country]],GroupStages[ScoreB])</f>
        <v>0</v>
      </c>
      <c r="I58" s="21">
        <f>SUMIF(GroupStages[TeamA],GroupH[[#This Row],[Country]],GroupStages[ScoreB])+SUMIF(GroupStages[TeamB],GroupH[[#This Row],[Country]],GroupStages[ScoreA])</f>
        <v>0</v>
      </c>
      <c r="J58" s="26">
        <f>GroupH[[#This Row],[GF]]-GroupH[[#This Row],[GA]]</f>
        <v>0</v>
      </c>
      <c r="K58" s="21">
        <f>(GroupH[[#This Row],[W]]*3)+GroupH[[#This Row],[D]]</f>
        <v>0</v>
      </c>
      <c r="L58" s="5">
        <f>GroupH[[#This Row],[Pts]]+(GroupH[[#This Row],[GD]]/100)</f>
        <v>0</v>
      </c>
    </row>
    <row r="59" spans="1:12" x14ac:dyDescent="0.25">
      <c r="A59" s="2"/>
      <c r="C59" s="2"/>
      <c r="D59" s="2"/>
      <c r="E59" s="2"/>
      <c r="F59" s="2"/>
      <c r="G59" s="2"/>
      <c r="H59" s="2"/>
      <c r="I59" s="2"/>
    </row>
  </sheetData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Group Stage</vt:lpstr>
      <vt:lpstr>Knockout Stage</vt:lpstr>
      <vt:lpstr>Group Standings 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Oppenheimer</dc:creator>
  <cp:lastModifiedBy>arigon</cp:lastModifiedBy>
  <dcterms:created xsi:type="dcterms:W3CDTF">2010-04-08T23:57:10Z</dcterms:created>
  <dcterms:modified xsi:type="dcterms:W3CDTF">2010-06-07T08:13:25Z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TC103911551033</vt:lpwstr>
  </property>
</Properties>
</file>